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MAPES\_Commun\MISSIONS\M03 ANALYSE FINANCIERE\M03 20201100 mise à jour AutoDiagFi-ESMS\v14.1 rebranding MAPES\"/>
    </mc:Choice>
  </mc:AlternateContent>
  <bookViews>
    <workbookView xWindow="0" yWindow="180" windowWidth="20730" windowHeight="11580" tabRatio="857" firstSheet="2" activeTab="2"/>
  </bookViews>
  <sheets>
    <sheet name="Ratios" sheetId="1" state="hidden" r:id="rId1"/>
    <sheet name="A FAIRE" sheetId="26" state="hidden" r:id="rId2"/>
    <sheet name="MENU" sheetId="27" r:id="rId3"/>
    <sheet name="BD Finess" sheetId="46" state="hidden" r:id="rId4"/>
    <sheet name="FINESS" sheetId="43" r:id="rId5"/>
    <sheet name="Bilan financier" sheetId="7" r:id="rId6"/>
    <sheet name="CAF" sheetId="22" r:id="rId7"/>
    <sheet name="SIG" sheetId="14" r:id="rId8"/>
    <sheet name="Analyse rétrospective (1)" sheetId="15" r:id="rId9"/>
    <sheet name="Analyse rétrospective (2)" sheetId="24" r:id="rId10"/>
    <sheet name="AIDE-Fiches indicateurs" sheetId="9" r:id="rId11"/>
    <sheet name="PPI" sheetId="17" r:id="rId12"/>
    <sheet name="AIDE-Durées amortissements" sheetId="18" r:id="rId13"/>
    <sheet name="Plan pluriannuel de financement" sheetId="29" r:id="rId14"/>
    <sheet name="Cptes de résultat prévisionnels" sheetId="5" r:id="rId15"/>
    <sheet name="Tableau surcoûts exploitation" sheetId="38" r:id="rId16"/>
    <sheet name="AIDE-simulation emprunt" sheetId="30" r:id="rId17"/>
    <sheet name="Analyse prospective (1)" sheetId="34" r:id="rId18"/>
    <sheet name="Analyse prospective (2)" sheetId="37" r:id="rId19"/>
    <sheet name="Ann5" sheetId="44" r:id="rId20"/>
    <sheet name="Ann7" sheetId="45" r:id="rId21"/>
    <sheet name="REX" sheetId="39" r:id="rId22"/>
    <sheet name="BDD REX" sheetId="41" state="hidden" r:id="rId23"/>
  </sheets>
  <externalReferences>
    <externalReference r:id="rId24"/>
    <externalReference r:id="rId25"/>
  </externalReferences>
  <definedNames>
    <definedName name="_BEC106850">0</definedName>
    <definedName name="_BEC106860">0</definedName>
    <definedName name="_BEC168800">0</definedName>
    <definedName name="_BEN70">0</definedName>
    <definedName name="_BEN71">0</definedName>
    <definedName name="_BPC106850">0</definedName>
    <definedName name="_BPC106860">0</definedName>
    <definedName name="_BPC168800">0</definedName>
    <definedName name="_C1064_CAretenu_moins2">0</definedName>
    <definedName name="_C1064_CAretenu_moins3">0</definedName>
    <definedName name="_C1064_CAretenu_moins4">0</definedName>
    <definedName name="_C10687_CAretenu_moins2">0</definedName>
    <definedName name="_C10687_CAretenu_moins3">0</definedName>
    <definedName name="_C10687_CAretenu_moins4">0</definedName>
    <definedName name="_C1486_CAretenu_moins2">0</definedName>
    <definedName name="_C1486_CAretenu_moins3">0</definedName>
    <definedName name="_C1486_CAretenu_moins4">0</definedName>
    <definedName name="_C733BEXN0">0</definedName>
    <definedName name="_C733BEXN1">0</definedName>
    <definedName name="_C733BPPN0">0</definedName>
    <definedName name="_C733CARN2">0</definedName>
    <definedName name="_C733MSNN0">0</definedName>
    <definedName name="_CCC6021">0</definedName>
    <definedName name="_CCC60222">0</definedName>
    <definedName name="_CCC60226">0</definedName>
    <definedName name="_CCC602261">0</definedName>
    <definedName name="_CCC6023">0</definedName>
    <definedName name="_CCC60321">0</definedName>
    <definedName name="_CCC603222">0</definedName>
    <definedName name="_CCC603226">0</definedName>
    <definedName name="_CCC60622">0</definedName>
    <definedName name="_CCC60623">0</definedName>
    <definedName name="_CCC60626">0</definedName>
    <definedName name="_CCC606261">0</definedName>
    <definedName name="_CCC6063">0</definedName>
    <definedName name="_CCC6066">0</definedName>
    <definedName name="_CCC610">721</definedName>
    <definedName name="_CCC61121">0</definedName>
    <definedName name="_CCC61551">0</definedName>
    <definedName name="_CCC61562">0</definedName>
    <definedName name="_CCC620">0</definedName>
    <definedName name="_CCC6223">0</definedName>
    <definedName name="_CCC6280">0</definedName>
    <definedName name="_CCC650">0</definedName>
    <definedName name="_CCC670">0</definedName>
    <definedName name="_CCC681518">0</definedName>
    <definedName name="_CCC7343">0</definedName>
    <definedName name="_xlnm._FilterDatabase" localSheetId="12" hidden="1">'AIDE-Durées amortissements'!$B$8:$F$8</definedName>
    <definedName name="_xlnm._FilterDatabase" localSheetId="4" hidden="1">FINESS!$B$14:$C$14</definedName>
    <definedName name="_xlnm._FilterDatabase" localSheetId="11" hidden="1">PPI!#REF!</definedName>
    <definedName name="AAutre1CARN2">0</definedName>
    <definedName name="AAUTRE1CAT_budget_propose_0_GLOBAL">0</definedName>
    <definedName name="AAUTRE1CAT_budget_retenu_0_GLOBAL">0</definedName>
    <definedName name="AAUTRE1CAT_ca_propose_0_GLOBAL">0</definedName>
    <definedName name="AAutre1DgN">0</definedName>
    <definedName name="AAUTRE1FOY_budget_propose_0_GLOBAL">0</definedName>
    <definedName name="AAUTRE1FOY_budget_retenu_0_GLOBAL">0</definedName>
    <definedName name="AAUTRE1FOY_ca_propose_0_GLOBAL">0</definedName>
    <definedName name="AAUTRE1MAS_budget_propose_0_GLOBAL">0</definedName>
    <definedName name="AAUTRE1MAS_budget_retenu_0_GLOBAL">0</definedName>
    <definedName name="AAUTRE1MAS_ca_propose_0_GLOBAL">0</definedName>
    <definedName name="AAutre2">0</definedName>
    <definedName name="AAutre2CARN2">0</definedName>
    <definedName name="AAUTRE2CAT_budget_propose_0_GLOBAL">0</definedName>
    <definedName name="AAUTRE2CAT_budget_retenu_0_GLOBAL">0</definedName>
    <definedName name="AAUTRE2CAT_ca_propose_0_GLOBAL">0</definedName>
    <definedName name="AAutre2DgN">0</definedName>
    <definedName name="AAUTRE2FOY_budget_propose_0_GLOBAL">0</definedName>
    <definedName name="AAUTRE2FOY_budget_retenu_0_GLOBAL">0</definedName>
    <definedName name="AAUTRE2FOY_ca_propose_0_GLOBAL">0</definedName>
    <definedName name="AAUTRE2MAS_budget_propose_0_GLOBAL">0</definedName>
    <definedName name="AAUTRE2MAS_budget_retenu_0_GLOBAL">0</definedName>
    <definedName name="AAUTRE2MAS_ca_propose_0_GLOBAL">0</definedName>
    <definedName name="AAutre3">0</definedName>
    <definedName name="AAutre3CARN2">0</definedName>
    <definedName name="AAUTRE3CAT_budget_propose_0_GLOBAL">0</definedName>
    <definedName name="AAUTRE3CAT_budget_retenu_0_GLOBAL">0</definedName>
    <definedName name="AAUTRE3CAT_ca_propose_0_GLOBAL">0</definedName>
    <definedName name="AAutre3DgN">0</definedName>
    <definedName name="AAUTRE3FOY_budget_propose_0_GLOBAL">0</definedName>
    <definedName name="AAUTRE3FOY_budget_retenu_0_GLOBAL">0</definedName>
    <definedName name="AAUTRE3FOY_ca_propose_0_GLOBAL">0</definedName>
    <definedName name="AAUTRE3MAS_budget_propose_0_GLOBAL">0</definedName>
    <definedName name="AAUTRE3MAS_budget_retenu_0_GLOBAL">0</definedName>
    <definedName name="AAUTRE3MAS_ca_propose_0_GLOBAL">0</definedName>
    <definedName name="ACapDuAnneePrec">0</definedName>
    <definedName name="ACapDuAnneePrec_MN">0</definedName>
    <definedName name="ACapVerseN">0</definedName>
    <definedName name="ACapVerseN_MN">0</definedName>
    <definedName name="ADateDebut">" "</definedName>
    <definedName name="ADateDebut_MN">" "</definedName>
    <definedName name="ADurée">0</definedName>
    <definedName name="ADurée_MN">0</definedName>
    <definedName name="AFFCOM_PROPOSE">0</definedName>
    <definedName name="AFFCOM_PROPOSE_1">0</definedName>
    <definedName name="AFFCOM_RETENU">0</definedName>
    <definedName name="AFFCOM_RETENU_1">0</definedName>
    <definedName name="AFFCOMCAP_Dep">0</definedName>
    <definedName name="AFFCOMCAP_Heb">0</definedName>
    <definedName name="AFFCOMCAP_Soins">0</definedName>
    <definedName name="AFFCOMCAR_Dep">0</definedName>
    <definedName name="AFFCOMCAR_Heb">0</definedName>
    <definedName name="AFFCOMCAR_Soins">0</definedName>
    <definedName name="AFFCOMSEC_PROPOSE">0</definedName>
    <definedName name="AFFCOMSEC_RETENU">0</definedName>
    <definedName name="AFFCOMSECCAP_Dep">0</definedName>
    <definedName name="AFFCOMSECCAP_Heb">0</definedName>
    <definedName name="AFFCOMSECCAP_Soins">0</definedName>
    <definedName name="AFFCOMSECCAR_Dep">0</definedName>
    <definedName name="AFFCOMSECCAR_Heb">0</definedName>
    <definedName name="AFFCOMSECCAR_Soins">0</definedName>
    <definedName name="AFFEXP_PROPOSE">0</definedName>
    <definedName name="AFFEXP_PROPOSE_1">0</definedName>
    <definedName name="AFFEXP_RETENU">0</definedName>
    <definedName name="AFFEXP_RETENU_1">0</definedName>
    <definedName name="AFFEXPCAP_Dep">0</definedName>
    <definedName name="AFFEXPCAP_Heb">0</definedName>
    <definedName name="AFFEXPCAP_Soins">0</definedName>
    <definedName name="AFFEXPCAR_Dep">0</definedName>
    <definedName name="AFFEXPCAR_Heb">0</definedName>
    <definedName name="AFFEXPCAR_Soins">0</definedName>
    <definedName name="AFFINV_PROPOSE">0</definedName>
    <definedName name="AFFINV_PROPOSE_1">0</definedName>
    <definedName name="AFFINV_RETENU">0</definedName>
    <definedName name="AFFINV_RETENU_1">0</definedName>
    <definedName name="AFFINVES_PROPOSE">0</definedName>
    <definedName name="AFFINVES_RETENU">0</definedName>
    <definedName name="AFFINVESCAP_Dep">0</definedName>
    <definedName name="AFFINVESCAP_Heb">0</definedName>
    <definedName name="AFFINVESCAP_Soins">0</definedName>
    <definedName name="AFFINVESCAR_Dep">0</definedName>
    <definedName name="AFFINVESCAR_Heb">0</definedName>
    <definedName name="AFFINVESCAR_Soins">0</definedName>
    <definedName name="AFFMESEXPL_PROPOSE">0</definedName>
    <definedName name="AFFMESEXPL_PROPOSE_1">0</definedName>
    <definedName name="AFFMESEXPL_RETENU">0</definedName>
    <definedName name="AFFMESEXPL_RETENU_1">0</definedName>
    <definedName name="AFFMESEXPLCAP_Dep">0</definedName>
    <definedName name="AFFMESEXPLCAP_Heb">0</definedName>
    <definedName name="AFFMESEXPLCAP_Soins">0</definedName>
    <definedName name="AFFMESEXPLCAR_Dep">0</definedName>
    <definedName name="AFFMESEXPLCAR_Heb">0</definedName>
    <definedName name="AFFMESEXPLCAR_Soins">0</definedName>
    <definedName name="AFFRESCAP">0</definedName>
    <definedName name="AFFRESCAP_Dep">0</definedName>
    <definedName name="AFFRESCAP_Heb">0</definedName>
    <definedName name="AFFRESCAP_Soins">0</definedName>
    <definedName name="AFFRESCAR">0</definedName>
    <definedName name="AFFRESCAR_Dep">0</definedName>
    <definedName name="AFFRESCAR_Heb">0</definedName>
    <definedName name="AFFRESCAR_Soins">0</definedName>
    <definedName name="AFFTRES_PROPOSE">0</definedName>
    <definedName name="AFFTRES_PROPOSE_1">0</definedName>
    <definedName name="AFFTRES_RETENU">0</definedName>
    <definedName name="AFFTRES_RETENU_1">0</definedName>
    <definedName name="AFFTRESCAP_Dep">0</definedName>
    <definedName name="AFFTRESCAP_Heb">0</definedName>
    <definedName name="AFFTRESCAP_Soins">0</definedName>
    <definedName name="AFFTRESCAR_Dep">0</definedName>
    <definedName name="AFFTRESCAR_Heb">0</definedName>
    <definedName name="AFFTRESCAR_Soins">0</definedName>
    <definedName name="AGREGAPPROUVEN1">0</definedName>
    <definedName name="AInteretDusAnneePrec">0</definedName>
    <definedName name="AInteretDusAnneePrec_MN">0</definedName>
    <definedName name="AIntVerseN">0</definedName>
    <definedName name="AIntVerseN_MN">0</definedName>
    <definedName name="AmoAntN">0</definedName>
    <definedName name="AmoAntN1">0</definedName>
    <definedName name="AmoAntN2">0</definedName>
    <definedName name="AmoAntN3">0</definedName>
    <definedName name="AmoAntN4">0</definedName>
    <definedName name="AMOIMM">0</definedName>
    <definedName name="AMOIMMSimNP1">0</definedName>
    <definedName name="AMOIMMSimNP2">0</definedName>
    <definedName name="AMOIMMSimNP3">0</definedName>
    <definedName name="AMOIMMSimNP4">0</definedName>
    <definedName name="AMOIMMSimNP5">0</definedName>
    <definedName name="AmoNouvN">0</definedName>
    <definedName name="AmoNouvN1">0</definedName>
    <definedName name="AmoNouvN2">0</definedName>
    <definedName name="AmoNouvN3">0</definedName>
    <definedName name="AmoNouvN4">0</definedName>
    <definedName name="AMontant">0</definedName>
    <definedName name="AMontant_MN">0</definedName>
    <definedName name="AmoPreced">0</definedName>
    <definedName name="AmoPreced_MN">0</definedName>
    <definedName name="Analytique">0</definedName>
    <definedName name="Année">2012</definedName>
    <definedName name="Année_50">0</definedName>
    <definedName name="AOrgPreteur">" "</definedName>
    <definedName name="AOrgPreteur_MN">" "</definedName>
    <definedName name="ATaux">0</definedName>
    <definedName name="ATaux_MN">0</definedName>
    <definedName name="AUGBFR">0</definedName>
    <definedName name="AUGBFRSimNP1">0</definedName>
    <definedName name="AUGBFRSimNP2">0</definedName>
    <definedName name="AUGBFRSimNP3">0</definedName>
    <definedName name="AUGBFRSimNP4">0</definedName>
    <definedName name="AUGBFRSimNP5">0</definedName>
    <definedName name="AUGDET1SimNP1">0</definedName>
    <definedName name="AUGDET1SimNP2">0</definedName>
    <definedName name="AUGDET1SimNP3">0</definedName>
    <definedName name="AUGDET1SimNP4">0</definedName>
    <definedName name="AUGDET1SimNP5">0</definedName>
    <definedName name="AUGDETSimNP1">0</definedName>
    <definedName name="AUGDETSimNP2">0</definedName>
    <definedName name="AUGDETSimNP3">0</definedName>
    <definedName name="AUGDETSimNP4">0</definedName>
    <definedName name="AUGDETSimNP5">0</definedName>
    <definedName name="AUGFDSPR">0</definedName>
    <definedName name="AUGFDSPRSimNP1">0</definedName>
    <definedName name="AUGFDSPRSimNP2">0</definedName>
    <definedName name="AUGFDSPRSimNP3">0</definedName>
    <definedName name="AUGFDSPRSimNP4">0</definedName>
    <definedName name="AUGFDSPRSimNP5">0</definedName>
    <definedName name="Autofinan_01">0</definedName>
    <definedName name="Autofinan_02">0</definedName>
    <definedName name="Autofinan_03">0</definedName>
    <definedName name="Autofinan_04">0</definedName>
    <definedName name="Autofinan_05">0</definedName>
    <definedName name="Autofinan_06">0</definedName>
    <definedName name="Autofinan_07">0</definedName>
    <definedName name="Autofinan_08">0</definedName>
    <definedName name="Autofinan_09">0</definedName>
    <definedName name="Autofinan_10">0</definedName>
    <definedName name="Autofinan_11">0</definedName>
    <definedName name="Autofinan_12">0</definedName>
    <definedName name="Autofinan_13">0</definedName>
    <definedName name="Autofinan_14">0</definedName>
    <definedName name="Autofinan_15">0</definedName>
    <definedName name="Autofinan_16">0</definedName>
    <definedName name="Autofinan_17">0</definedName>
    <definedName name="Autofinan_18">0</definedName>
    <definedName name="Autofinan_19">0</definedName>
    <definedName name="Autofinan_20">0</definedName>
    <definedName name="Autofinan_BudgetRet">0</definedName>
    <definedName name="Autofinan_CAP">0</definedName>
    <definedName name="AutreNatRemu2Comentn">" "</definedName>
    <definedName name="AutreNatRemu2ComentnBExec">" "</definedName>
    <definedName name="AutreNatRemu2n">0</definedName>
    <definedName name="AutreNatRemu2nBExec">0</definedName>
    <definedName name="AutreNatRemu3Comentn">" "</definedName>
    <definedName name="AutreNatRemu3ComentnBExec">" "</definedName>
    <definedName name="AutreNatRemu3n">0</definedName>
    <definedName name="AutreNatRemu3nBExec">0</definedName>
    <definedName name="AutreNatRemunComentn">" "</definedName>
    <definedName name="AutreNatRemunComentnBExec">" "</definedName>
    <definedName name="AutreNatRemunn">0</definedName>
    <definedName name="AutreNatRemunnBExec">0</definedName>
    <definedName name="AvantgNaturen">0</definedName>
    <definedName name="AvantgNaturenBExec">0</definedName>
    <definedName name="BCapDuAnneePrec">0</definedName>
    <definedName name="BCapDuAnneePrec_MN">0</definedName>
    <definedName name="BCapVerseN">0</definedName>
    <definedName name="BCapVerseN_MN">0</definedName>
    <definedName name="BDateDebut">" "</definedName>
    <definedName name="BDateDebut_MN">" "</definedName>
    <definedName name="BDurée">0</definedName>
    <definedName name="BDurée_MN">0</definedName>
    <definedName name="BEAVACPTEVERS">0</definedName>
    <definedName name="BEAVACPTRECUS">0</definedName>
    <definedName name="BEBFR">0</definedName>
    <definedName name="BEBQETABFI">0</definedName>
    <definedName name="BECAISSES">0</definedName>
    <definedName name="BECHAREPARTIR">0</definedName>
    <definedName name="BECHCONSAVAN">0</definedName>
    <definedName name="BECONCBQE">0</definedName>
    <definedName name="BECONSTRUCB">0</definedName>
    <definedName name="BECREANCES">0</definedName>
    <definedName name="BEDETTEDIVEXP">0</definedName>
    <definedName name="BEDETTEFISOC">0</definedName>
    <definedName name="BEECPTELIAISINV">0</definedName>
    <definedName name="BEECPTELIAISONSTAB">0</definedName>
    <definedName name="BEEMPRUNTS">0</definedName>
    <definedName name="BEFBIFAO">0</definedName>
    <definedName name="BEFBIFAP">0</definedName>
    <definedName name="BEFDREXP">0</definedName>
    <definedName name="BEFDRINVEST">0</definedName>
    <definedName name="BEFDRNETGLO">0</definedName>
    <definedName name="BEFEXFRE">0</definedName>
    <definedName name="BEFONDASSO">0</definedName>
    <definedName name="BEFRS">0</definedName>
    <definedName name="BEFRSIMMO">0</definedName>
    <definedName name="BEIMENCOURSB">0</definedName>
    <definedName name="BEIMINCORP">0</definedName>
    <definedName name="BEIMINCORPNET">0</definedName>
    <definedName name="BEIMOFINB">0</definedName>
    <definedName name="BEITMOB">0</definedName>
    <definedName name="BENF601">0</definedName>
    <definedName name="BENF602">0</definedName>
    <definedName name="BENF603C">0</definedName>
    <definedName name="BENF603D">0</definedName>
    <definedName name="BENF603P">0</definedName>
    <definedName name="BENF606">0</definedName>
    <definedName name="BENF607">0</definedName>
    <definedName name="BENF609">0</definedName>
    <definedName name="BENF609D">0</definedName>
    <definedName name="BENF609P">0</definedName>
    <definedName name="BENF610">0</definedName>
    <definedName name="BENF6110">0</definedName>
    <definedName name="BENF6111">0</definedName>
    <definedName name="BENF6112">0</definedName>
    <definedName name="BENF6118">0</definedName>
    <definedName name="BENF612">0</definedName>
    <definedName name="BENF6130">0</definedName>
    <definedName name="BENF6132">0</definedName>
    <definedName name="BENF6135">0</definedName>
    <definedName name="BENF614">0</definedName>
    <definedName name="BENF6150">0</definedName>
    <definedName name="BENF6152">0</definedName>
    <definedName name="BENF6155">0</definedName>
    <definedName name="BENF6156">0</definedName>
    <definedName name="BENF616">0</definedName>
    <definedName name="BENF617">0</definedName>
    <definedName name="BENF618">0</definedName>
    <definedName name="BENF619">0</definedName>
    <definedName name="BENF619D">0</definedName>
    <definedName name="BENF619P">0</definedName>
    <definedName name="BENF621">0</definedName>
    <definedName name="BENF622">0</definedName>
    <definedName name="BENF623">0</definedName>
    <definedName name="BENF6240">0</definedName>
    <definedName name="BENF6241">0</definedName>
    <definedName name="BENF6242">0</definedName>
    <definedName name="BENF6247">0</definedName>
    <definedName name="BENF6248">0</definedName>
    <definedName name="BENF625">0</definedName>
    <definedName name="BENF626">0</definedName>
    <definedName name="BENF627">0</definedName>
    <definedName name="BENF6280">0</definedName>
    <definedName name="BENF6281">0</definedName>
    <definedName name="BENF6282">0</definedName>
    <definedName name="BENF6283">0</definedName>
    <definedName name="BENF6284">0</definedName>
    <definedName name="BENF6287">0</definedName>
    <definedName name="BENF6288">0</definedName>
    <definedName name="BENF6289">0</definedName>
    <definedName name="BENF629">0</definedName>
    <definedName name="BENF629P">0</definedName>
    <definedName name="BENF631">0</definedName>
    <definedName name="BENF633">0</definedName>
    <definedName name="BENF635">0</definedName>
    <definedName name="BENF637">0</definedName>
    <definedName name="BENF640">0</definedName>
    <definedName name="BENF641">0</definedName>
    <definedName name="BENF6419">0</definedName>
    <definedName name="BENF6419P">0</definedName>
    <definedName name="BENF6419P_1">0</definedName>
    <definedName name="BENF642">0</definedName>
    <definedName name="BENF6429">0</definedName>
    <definedName name="BENF6429P">0</definedName>
    <definedName name="BENF6429P_1">0</definedName>
    <definedName name="BENF643">0</definedName>
    <definedName name="BENF645">0</definedName>
    <definedName name="BENF646">0</definedName>
    <definedName name="BENF647">0</definedName>
    <definedName name="BENF648">0</definedName>
    <definedName name="BENF6489">0</definedName>
    <definedName name="BENF6489P">0</definedName>
    <definedName name="BENF6489P_1">0</definedName>
    <definedName name="BENF6499">0</definedName>
    <definedName name="BENF650">0</definedName>
    <definedName name="BENF651">0</definedName>
    <definedName name="BENF654">0</definedName>
    <definedName name="BENF655">0</definedName>
    <definedName name="BENF657">0</definedName>
    <definedName name="BENF658">0</definedName>
    <definedName name="BENF66">0</definedName>
    <definedName name="BENF6611C">0</definedName>
    <definedName name="BENF6611P">0</definedName>
    <definedName name="BENF670">0</definedName>
    <definedName name="BENF671">0</definedName>
    <definedName name="BENF675">0</definedName>
    <definedName name="BENF678">0</definedName>
    <definedName name="BENF680">0</definedName>
    <definedName name="BENF6811">0</definedName>
    <definedName name="BENF6812">0</definedName>
    <definedName name="BENF6815">0</definedName>
    <definedName name="BENF6816">0</definedName>
    <definedName name="BENF6817">0</definedName>
    <definedName name="BENF686">0</definedName>
    <definedName name="BENF687">0</definedName>
    <definedName name="BENF6870">0</definedName>
    <definedName name="BENF6871">0</definedName>
    <definedName name="BENF6872">0</definedName>
    <definedName name="BENF68720">0</definedName>
    <definedName name="BENF68725">0</definedName>
    <definedName name="BENF6874">0</definedName>
    <definedName name="BENF68740">0</definedName>
    <definedName name="BENF68741">0</definedName>
    <definedName name="BENF68742">0</definedName>
    <definedName name="BENF68746">0</definedName>
    <definedName name="BENF687461">0</definedName>
    <definedName name="BENF687462">0</definedName>
    <definedName name="BENF68748">0</definedName>
    <definedName name="BENF6876">0</definedName>
    <definedName name="BENF689">0</definedName>
    <definedName name="BENF6894">0</definedName>
    <definedName name="BENF6895">0</definedName>
    <definedName name="BENF6897">0</definedName>
    <definedName name="BENF70">0</definedName>
    <definedName name="BENF7082">0</definedName>
    <definedName name="BENF70821">0</definedName>
    <definedName name="BENF70822">0</definedName>
    <definedName name="BENF70823">0</definedName>
    <definedName name="BENF70828">0</definedName>
    <definedName name="BENF709D">0</definedName>
    <definedName name="BENF709D_1">0</definedName>
    <definedName name="BENF71">0</definedName>
    <definedName name="BENF713D">0</definedName>
    <definedName name="BENF713D_1">0</definedName>
    <definedName name="BENF72">0</definedName>
    <definedName name="BENF73">0</definedName>
    <definedName name="BENF731">0</definedName>
    <definedName name="BENF732">0</definedName>
    <definedName name="BENF734">0</definedName>
    <definedName name="BENF736">0</definedName>
    <definedName name="BENF737">0</definedName>
    <definedName name="BENF7399">0</definedName>
    <definedName name="BENF74">0</definedName>
    <definedName name="BENF75">0</definedName>
    <definedName name="BENF76">0</definedName>
    <definedName name="BENF770">0</definedName>
    <definedName name="BENF771">0</definedName>
    <definedName name="BENF773">0</definedName>
    <definedName name="BENF775">0</definedName>
    <definedName name="BENF777">0</definedName>
    <definedName name="BENF778">0</definedName>
    <definedName name="BENF78">0</definedName>
    <definedName name="BENF78725">0</definedName>
    <definedName name="BENF78741">0</definedName>
    <definedName name="BENF78742">0</definedName>
    <definedName name="BENF78746">0</definedName>
    <definedName name="BENF789">0</definedName>
    <definedName name="BENF79">0</definedName>
    <definedName name="BENFS673">0</definedName>
    <definedName name="BEORGFINA">0</definedName>
    <definedName name="BEPDTCONSAVAN">0</definedName>
    <definedName name="BEPRODEPRTIERS">0</definedName>
    <definedName name="BEPROVRESRVTRESO">0</definedName>
    <definedName name="BEPROVRISCHAR">0</definedName>
    <definedName name="BERAN">0</definedName>
    <definedName name="BERCPTELIAISONINV">0</definedName>
    <definedName name="BERCPTELIAISSTAB">0</definedName>
    <definedName name="BEREDEV">0</definedName>
    <definedName name="BEREGIEAVANCE">0</definedName>
    <definedName name="BERESERINVES">0</definedName>
    <definedName name="BERESEXE">0</definedName>
    <definedName name="BESTOCKS">0</definedName>
    <definedName name="BESUBINVREN">0</definedName>
    <definedName name="BETERRAINSB">0</definedName>
    <definedName name="BETOTBIENAFINA">0</definedName>
    <definedName name="BETOTDETTEEXP">0</definedName>
    <definedName name="BETOTDOTAMO">0</definedName>
    <definedName name="BETOTEMPSTABLE">0</definedName>
    <definedName name="BETOTFINAN">0</definedName>
    <definedName name="BETOTFINCT">0</definedName>
    <definedName name="BETOTFINSTABLINV">0</definedName>
    <definedName name="BETOTLIQUID">0</definedName>
    <definedName name="BETOTVALEXPLOI">0</definedName>
    <definedName name="BETRESNEGES">0</definedName>
    <definedName name="BETRESOACT">0</definedName>
    <definedName name="BETRESORERIE">0</definedName>
    <definedName name="BEVMP">0</definedName>
    <definedName name="BInteretDusAnneePrec">0</definedName>
    <definedName name="BInteretDusAnneePrec_MN">0</definedName>
    <definedName name="BIntVerseN">0</definedName>
    <definedName name="BIntVerseN_MN">0</definedName>
    <definedName name="BMontant">0</definedName>
    <definedName name="BMontant_MN">0</definedName>
    <definedName name="BOrgPreteur">" "</definedName>
    <definedName name="BOrgPreteur_MN">" "</definedName>
    <definedName name="BPAVACPTEVERS">0</definedName>
    <definedName name="BPAVACPTRECUS">0</definedName>
    <definedName name="BPBFR">0</definedName>
    <definedName name="BPBQETABFI">0</definedName>
    <definedName name="BPCAISSES">0</definedName>
    <definedName name="BPCHAREPARTIR">0</definedName>
    <definedName name="BPCHCONSAVAN">0</definedName>
    <definedName name="BPCONCBQE">0</definedName>
    <definedName name="BPCONSTRUCB">0</definedName>
    <definedName name="BPCREANCES">0</definedName>
    <definedName name="BPDETTEDIVEXP">0</definedName>
    <definedName name="BPDETTEFISOC">0</definedName>
    <definedName name="BPECPTELIAISINV">0</definedName>
    <definedName name="BPECPTELIAISONSTAB">0</definedName>
    <definedName name="BPEMPRUNTS">0</definedName>
    <definedName name="BPFBIFAO">0</definedName>
    <definedName name="BPFBIFAP">0</definedName>
    <definedName name="BPFDREXP">0</definedName>
    <definedName name="BPFDRINVEST">0</definedName>
    <definedName name="BPFDRNETGLO">0</definedName>
    <definedName name="BPFEXFRE">0</definedName>
    <definedName name="BPFONDASSO">0</definedName>
    <definedName name="BPFRS">0</definedName>
    <definedName name="BPFRSIMMO">0</definedName>
    <definedName name="BPIMENCOURSB">0</definedName>
    <definedName name="BPIMINCORP">0</definedName>
    <definedName name="BPIMINCORPNET">0</definedName>
    <definedName name="BPIMOFINB">0</definedName>
    <definedName name="BPITMOB">0</definedName>
    <definedName name="BPORGFINA">0</definedName>
    <definedName name="BPPDTCONSAVAN">0</definedName>
    <definedName name="BPPRODEPRTIERS">0</definedName>
    <definedName name="BPPROVRESRVTRESO">0</definedName>
    <definedName name="BPPROVRISCHAR">0</definedName>
    <definedName name="BPRAN">0</definedName>
    <definedName name="BPRCPTELIAISONINV">0</definedName>
    <definedName name="BPRCPTELIAISSTAB">0</definedName>
    <definedName name="BPREDEV">0</definedName>
    <definedName name="BPREGIEAVANCE">0</definedName>
    <definedName name="BPRESERINVES">0</definedName>
    <definedName name="BPRESEXE">0</definedName>
    <definedName name="BPSTOCKS">0</definedName>
    <definedName name="BPSUBINVREN">0</definedName>
    <definedName name="BPTERRAINSB">0</definedName>
    <definedName name="BPTOTBIENAFINA">0</definedName>
    <definedName name="BPTOTDETTEEXP">0</definedName>
    <definedName name="BPTOTDOTAMO">0</definedName>
    <definedName name="BPTOTEMPSTABLE">0</definedName>
    <definedName name="BPTOTFINAN">0</definedName>
    <definedName name="BPTOTFINCT">0</definedName>
    <definedName name="BPTOTFINSTABLINV">0</definedName>
    <definedName name="BPTOTLIQUID">0</definedName>
    <definedName name="BPTOTVALEXPLOI">0</definedName>
    <definedName name="BPTRESNEGES">0</definedName>
    <definedName name="BPTRESOACT">0</definedName>
    <definedName name="BPTRESORERIE">0</definedName>
    <definedName name="BPVMP">0</definedName>
    <definedName name="BTaux">0</definedName>
    <definedName name="BTaux_MN">0</definedName>
    <definedName name="budget_executoire_n_expl_charges">0</definedName>
    <definedName name="budget_executoire_n_expl_produits">0</definedName>
    <definedName name="budget_executoire_n_inv_charges">0</definedName>
    <definedName name="budget_executoire_n_inv_produits">0</definedName>
    <definedName name="BudgetBEXN0">0</definedName>
    <definedName name="BudgetBEXN1">0</definedName>
    <definedName name="BUDGETBP">0</definedName>
    <definedName name="BudgetBPPN0">0</definedName>
    <definedName name="BudgetBPPNAD">0</definedName>
    <definedName name="BudgetBPPNAVS">0</definedName>
    <definedName name="BudgetBPPNENC">0</definedName>
    <definedName name="BudgetBPPNTISF">0</definedName>
    <definedName name="BUDGETBR">0</definedName>
    <definedName name="BudgetBRN0">0</definedName>
    <definedName name="BudgetCARN2">0</definedName>
    <definedName name="BudgetMSNN0">0</definedName>
    <definedName name="C44331_CAretenu_moins2">0</definedName>
    <definedName name="C44331_CAretenu_moins3">0</definedName>
    <definedName name="C44331_CAretenu_moins4">0</definedName>
    <definedName name="CA_propose_n_expl_charges">0</definedName>
    <definedName name="CA_propose_n_expl_produits">0</definedName>
    <definedName name="CA_propose_n_inv_charges">0</definedName>
    <definedName name="CA_propose_n_inv_produit">0</definedName>
    <definedName name="CAPCE10000">0</definedName>
    <definedName name="CAPCE10200">0</definedName>
    <definedName name="CAPCE10230">0</definedName>
    <definedName name="CAPCE10600">0</definedName>
    <definedName name="CAPCE10686">0</definedName>
    <definedName name="CAPCE13900">0</definedName>
    <definedName name="CAPCE14000">0</definedName>
    <definedName name="CAPCE14800">0</definedName>
    <definedName name="CAPCE14861">0</definedName>
    <definedName name="CAPCE14862">0</definedName>
    <definedName name="CAPCE15000">0</definedName>
    <definedName name="CAPCE15100">0</definedName>
    <definedName name="CAPCE15700">0</definedName>
    <definedName name="CAPCE15800">0</definedName>
    <definedName name="CAPCE16000">0</definedName>
    <definedName name="CAPCE16300">0</definedName>
    <definedName name="CAPCE16400">0</definedName>
    <definedName name="CAPCE16500">0</definedName>
    <definedName name="CAPCE16700">0</definedName>
    <definedName name="CAPCE16800">0</definedName>
    <definedName name="CAPCE16900">0</definedName>
    <definedName name="CAPCE18000">0</definedName>
    <definedName name="CAPCE20000">0</definedName>
    <definedName name="CAPCE20100">0</definedName>
    <definedName name="CAPCE20300">0</definedName>
    <definedName name="CAPCE20500">0</definedName>
    <definedName name="CAPCE20800">0</definedName>
    <definedName name="CAPCE21000">0</definedName>
    <definedName name="CAPCE21100">0</definedName>
    <definedName name="CAPCE21200">0</definedName>
    <definedName name="CAPCE21300">0</definedName>
    <definedName name="CAPCE21400">0</definedName>
    <definedName name="CAPCE21500">0</definedName>
    <definedName name="CAPCE21600">0</definedName>
    <definedName name="CAPCE21810">0</definedName>
    <definedName name="CAPCE21820">0</definedName>
    <definedName name="CAPCE21830">0</definedName>
    <definedName name="CAPCE21840">0</definedName>
    <definedName name="CAPCE21850">0</definedName>
    <definedName name="CAPCE21880">0</definedName>
    <definedName name="CAPCE22000">0</definedName>
    <definedName name="CAPCE23000">0</definedName>
    <definedName name="CAPCE23120">0</definedName>
    <definedName name="CAPCE23130">0</definedName>
    <definedName name="CAPCE23140">0</definedName>
    <definedName name="CAPCE23150">0</definedName>
    <definedName name="CAPCE23180">0</definedName>
    <definedName name="CAPCE23800">0</definedName>
    <definedName name="CAPCE24000">0</definedName>
    <definedName name="CAPCE26000">0</definedName>
    <definedName name="CAPCE27000">0</definedName>
    <definedName name="CAPCE27100">0</definedName>
    <definedName name="CAPCE27200">0</definedName>
    <definedName name="CAPCE27400">0</definedName>
    <definedName name="CAPCE27500">0</definedName>
    <definedName name="CAPCE27610">0</definedName>
    <definedName name="CAPCE27680">0</definedName>
    <definedName name="CAPCE28000">0</definedName>
    <definedName name="CAPCE28110">0</definedName>
    <definedName name="CAPCE28120">0</definedName>
    <definedName name="CAPCE28130">0</definedName>
    <definedName name="CAPCE28140">0</definedName>
    <definedName name="CAPCE28150">0</definedName>
    <definedName name="CAPCE28180">0</definedName>
    <definedName name="CAPCE29000">0</definedName>
    <definedName name="CAPCE29300">0</definedName>
    <definedName name="CAPCE29700">0</definedName>
    <definedName name="CAPCE39000">0</definedName>
    <definedName name="CAPCE48100">0</definedName>
    <definedName name="CAPCE49000">0</definedName>
    <definedName name="CAPCE59000">0</definedName>
    <definedName name="CAPNF601">0</definedName>
    <definedName name="CAPNF602">0</definedName>
    <definedName name="CAPNF603C">0</definedName>
    <definedName name="CAPNF603D">0</definedName>
    <definedName name="CAPNF603P">0</definedName>
    <definedName name="CAPNF606">0</definedName>
    <definedName name="CAPNF607">0</definedName>
    <definedName name="CAPNF609">0</definedName>
    <definedName name="CAPNF609D">0</definedName>
    <definedName name="CAPNF609P">0</definedName>
    <definedName name="CAPNF610">0</definedName>
    <definedName name="CAPNF6110">0</definedName>
    <definedName name="CAPNF6111">0</definedName>
    <definedName name="CAPNF6112">0</definedName>
    <definedName name="CAPNF6118">0</definedName>
    <definedName name="CAPNF612">0</definedName>
    <definedName name="CAPNF6130">0</definedName>
    <definedName name="CAPNF6132">0</definedName>
    <definedName name="CAPNF6135">0</definedName>
    <definedName name="CAPNF614">0</definedName>
    <definedName name="CAPNF6150">0</definedName>
    <definedName name="CAPNF6152">0</definedName>
    <definedName name="CAPNF6155">0</definedName>
    <definedName name="CAPNF6156">0</definedName>
    <definedName name="CAPNF616">0</definedName>
    <definedName name="CAPNF617">0</definedName>
    <definedName name="CAPNF618">0</definedName>
    <definedName name="CAPNF619">0</definedName>
    <definedName name="CAPNF619D">0</definedName>
    <definedName name="CAPNF619P">0</definedName>
    <definedName name="CAPNF621">0</definedName>
    <definedName name="CAPNF622">0</definedName>
    <definedName name="CAPNF623">0</definedName>
    <definedName name="CAPNF6240">0</definedName>
    <definedName name="CAPNF6241">0</definedName>
    <definedName name="CAPNF6242">0</definedName>
    <definedName name="CAPNF6247">0</definedName>
    <definedName name="CAPNF6248">0</definedName>
    <definedName name="CAPNF625">0</definedName>
    <definedName name="CAPNF626">0</definedName>
    <definedName name="CAPNF627">0</definedName>
    <definedName name="CAPNF6280">0</definedName>
    <definedName name="CAPNF6281">0</definedName>
    <definedName name="CAPNF6282">0</definedName>
    <definedName name="CAPNF6283">0</definedName>
    <definedName name="CAPNF6284">0</definedName>
    <definedName name="CAPNF6287">0</definedName>
    <definedName name="CAPNF6288">0</definedName>
    <definedName name="CAPNF6289">0</definedName>
    <definedName name="CAPNF629">0</definedName>
    <definedName name="CAPNF629P">0</definedName>
    <definedName name="CAPNF631">0</definedName>
    <definedName name="CAPNF633">0</definedName>
    <definedName name="CAPNF635">0</definedName>
    <definedName name="CAPNF637">0</definedName>
    <definedName name="CAPNF640">0</definedName>
    <definedName name="CAPNF641">0</definedName>
    <definedName name="CAPNF6419">0</definedName>
    <definedName name="CAPNF6419P">0</definedName>
    <definedName name="CAPNF6419P_1">0</definedName>
    <definedName name="CAPNF642">0</definedName>
    <definedName name="CAPNF6429">0</definedName>
    <definedName name="CAPNF6429P">0</definedName>
    <definedName name="CAPNF6429P_1">0</definedName>
    <definedName name="CAPNF643">0</definedName>
    <definedName name="CAPNF645">0</definedName>
    <definedName name="CAPNF646">0</definedName>
    <definedName name="CAPNF647">0</definedName>
    <definedName name="CAPNF648">0</definedName>
    <definedName name="CAPNF6489">0</definedName>
    <definedName name="CAPNF6489P">0</definedName>
    <definedName name="CAPNF6489P_1">0</definedName>
    <definedName name="CAPNF6499">0</definedName>
    <definedName name="CAPNF650">0</definedName>
    <definedName name="CAPNF651">0</definedName>
    <definedName name="CAPNF654">0</definedName>
    <definedName name="CAPNF655">0</definedName>
    <definedName name="CAPNF657">0</definedName>
    <definedName name="CAPNF658">0</definedName>
    <definedName name="CAPNF66">0</definedName>
    <definedName name="CAPNF6611C">0</definedName>
    <definedName name="CAPNF6611P">0</definedName>
    <definedName name="CAPNF670">0</definedName>
    <definedName name="CAPNF671">0</definedName>
    <definedName name="CAPNF675">0</definedName>
    <definedName name="CAPNF678">0</definedName>
    <definedName name="CAPNF680">0</definedName>
    <definedName name="CAPNF6811">0</definedName>
    <definedName name="CAPNF6812">0</definedName>
    <definedName name="CAPNF6815">0</definedName>
    <definedName name="CAPNF6816">0</definedName>
    <definedName name="CAPNF6817">0</definedName>
    <definedName name="CAPNF686">0</definedName>
    <definedName name="CAPNF687">0</definedName>
    <definedName name="CAPNF6870">0</definedName>
    <definedName name="CAPNF6871">0</definedName>
    <definedName name="CAPNF6872">0</definedName>
    <definedName name="CAPNF68720">0</definedName>
    <definedName name="CAPNF68725">0</definedName>
    <definedName name="CAPNF6874">0</definedName>
    <definedName name="CAPNF68740">0</definedName>
    <definedName name="CAPNF68741">0</definedName>
    <definedName name="CAPNF68742">0</definedName>
    <definedName name="CAPNF68746">0</definedName>
    <definedName name="CAPNF687461">0</definedName>
    <definedName name="CAPNF687462">0</definedName>
    <definedName name="CAPNF68748">0</definedName>
    <definedName name="CAPNF6876">0</definedName>
    <definedName name="CAPNF689">0</definedName>
    <definedName name="CAPNF6894">0</definedName>
    <definedName name="CAPNF6895">0</definedName>
    <definedName name="CAPNF6897">0</definedName>
    <definedName name="CAPNF70">0</definedName>
    <definedName name="CAPNF7082">0</definedName>
    <definedName name="CAPNF70821">0</definedName>
    <definedName name="CAPNF70822">0</definedName>
    <definedName name="CAPNF70823">0</definedName>
    <definedName name="CAPNF70828">0</definedName>
    <definedName name="CAPNF709D">0</definedName>
    <definedName name="CAPNF709D_1">0</definedName>
    <definedName name="CAPNF71">0</definedName>
    <definedName name="CAPNF713D">0</definedName>
    <definedName name="CAPNF713D_1">0</definedName>
    <definedName name="CAPNF72">0</definedName>
    <definedName name="CAPNF73">0</definedName>
    <definedName name="CAPNF731">0</definedName>
    <definedName name="CAPNF732">0</definedName>
    <definedName name="CAPNF734">0</definedName>
    <definedName name="CAPNF736">0</definedName>
    <definedName name="CAPNF737">0</definedName>
    <definedName name="CAPNF7399">0</definedName>
    <definedName name="CAPNF74">0</definedName>
    <definedName name="CAPNF75">0</definedName>
    <definedName name="CAPNF76">0</definedName>
    <definedName name="CAPNF770">0</definedName>
    <definedName name="CAPNF771">0</definedName>
    <definedName name="CAPNF773">0</definedName>
    <definedName name="CAPNF775">0</definedName>
    <definedName name="CAPNF777">0</definedName>
    <definedName name="CAPNF778">0</definedName>
    <definedName name="CAPNF78">0</definedName>
    <definedName name="CAPNF78725">0</definedName>
    <definedName name="CAPNF78741">0</definedName>
    <definedName name="CAPNF78742">0</definedName>
    <definedName name="CAPNF78746">0</definedName>
    <definedName name="CAPNF789">0</definedName>
    <definedName name="CAPNF79">0</definedName>
    <definedName name="CAPNFS673">0</definedName>
    <definedName name="CARAVACPTEVERS">0</definedName>
    <definedName name="CARAVACPTRECUS">0</definedName>
    <definedName name="CARBFR">0</definedName>
    <definedName name="CARBQETABFI">0</definedName>
    <definedName name="CARC106850">0</definedName>
    <definedName name="CARC106860">0</definedName>
    <definedName name="CARC168800">0</definedName>
    <definedName name="CARCAISSES">0</definedName>
    <definedName name="CARCHAREPARTIR">0</definedName>
    <definedName name="CARCHCONSAVAN">0</definedName>
    <definedName name="CARCONCBQE">0</definedName>
    <definedName name="CARCONSTRUCB">0</definedName>
    <definedName name="CARCREANCES">0</definedName>
    <definedName name="CARDETTEDIVEXP">0</definedName>
    <definedName name="CARDETTEFISOC">0</definedName>
    <definedName name="CARECPTELIAISINV">0</definedName>
    <definedName name="CARECPTELIAISONSTAB">0</definedName>
    <definedName name="CAREMPRUNTS">0</definedName>
    <definedName name="CARFBIFAO">0</definedName>
    <definedName name="CARFBIFAP">0</definedName>
    <definedName name="CARFDREXP">0</definedName>
    <definedName name="CARFDRINVEST">0</definedName>
    <definedName name="CARFDRNETGLO">0</definedName>
    <definedName name="CARFEXFRE">0</definedName>
    <definedName name="CARFONDASSO">0</definedName>
    <definedName name="CARFRS">0</definedName>
    <definedName name="CARFRSIMMO">0</definedName>
    <definedName name="CARIMENCOURSB">0</definedName>
    <definedName name="CARIMINCORP">0</definedName>
    <definedName name="CARIMINCORPNET">0</definedName>
    <definedName name="CARIMOFINB">0</definedName>
    <definedName name="CARITMOB">0</definedName>
    <definedName name="CARmoins1F601">0</definedName>
    <definedName name="CARmoins1F602">0</definedName>
    <definedName name="CARmoins1F603D">0</definedName>
    <definedName name="CARmoins1F606">0</definedName>
    <definedName name="CARmoins1F607">0</definedName>
    <definedName name="CARmoins1F609D">0</definedName>
    <definedName name="CARmoins1F610">0</definedName>
    <definedName name="CARmoins1F6110">0</definedName>
    <definedName name="CARmoins1F6111">0</definedName>
    <definedName name="CARmoins1F6112">0</definedName>
    <definedName name="CARmoins1F6118">0</definedName>
    <definedName name="CARmoins1F612">0</definedName>
    <definedName name="CARmoins1F6130">0</definedName>
    <definedName name="CARmoins1F6132">0</definedName>
    <definedName name="CARmoins1F6135">0</definedName>
    <definedName name="CARmoins1F614">0</definedName>
    <definedName name="CARmoins1F6150">0</definedName>
    <definedName name="CARmoins1F6152">0</definedName>
    <definedName name="CARmoins1F6155">0</definedName>
    <definedName name="CARmoins1F6156">0</definedName>
    <definedName name="CARmoins1F616">0</definedName>
    <definedName name="CARmoins1F617">0</definedName>
    <definedName name="CARmoins1F618">0</definedName>
    <definedName name="CARmoins1F619D">0</definedName>
    <definedName name="CARmoins1F621">0</definedName>
    <definedName name="CARmoins1F622">0</definedName>
    <definedName name="CARmoins1F623">0</definedName>
    <definedName name="CARmoins1F6240">0</definedName>
    <definedName name="CARmoins1F6241">0</definedName>
    <definedName name="CARmoins1F6242">0</definedName>
    <definedName name="CARmoins1F6247">0</definedName>
    <definedName name="CARmoins1F6248">0</definedName>
    <definedName name="CARmoins1F625">0</definedName>
    <definedName name="CARmoins1F626">0</definedName>
    <definedName name="CARmoins1F627">0</definedName>
    <definedName name="CARmoins1F6280">0</definedName>
    <definedName name="CARmoins1F6281">0</definedName>
    <definedName name="CARmoins1F6282">0</definedName>
    <definedName name="CARmoins1F6283">0</definedName>
    <definedName name="CARmoins1F6284">0</definedName>
    <definedName name="CARmoins1F6287">0</definedName>
    <definedName name="CARmoins1F6288">0</definedName>
    <definedName name="CARmoins1F6289">0</definedName>
    <definedName name="CARmoins1F629">0</definedName>
    <definedName name="CARmoins1F631">0</definedName>
    <definedName name="CARmoins1F633">0</definedName>
    <definedName name="CARmoins1F635">0</definedName>
    <definedName name="CARmoins1F637">0</definedName>
    <definedName name="CARmoins1F640">0</definedName>
    <definedName name="CARmoins1F641">0</definedName>
    <definedName name="CARmoins1F6419P">0</definedName>
    <definedName name="CARmoins1F642">0</definedName>
    <definedName name="CARmoins1F6429P">0</definedName>
    <definedName name="CARmoins1F643">0</definedName>
    <definedName name="CARmoins1F645">0</definedName>
    <definedName name="CARmoins1F646">0</definedName>
    <definedName name="CARmoins1F647">0</definedName>
    <definedName name="CARmoins1F648">0</definedName>
    <definedName name="CARmoins1F6489P">0</definedName>
    <definedName name="CARmoins1F6499">0</definedName>
    <definedName name="CARmoins1F650">0</definedName>
    <definedName name="CARmoins1F651">0</definedName>
    <definedName name="CARmoins1F654">0</definedName>
    <definedName name="CARmoins1F655">0</definedName>
    <definedName name="CARmoins1F657">0</definedName>
    <definedName name="CARmoins1F658">0</definedName>
    <definedName name="CARmoins1F66">0</definedName>
    <definedName name="CARmoins1F670">0</definedName>
    <definedName name="CARmoins1F671">0</definedName>
    <definedName name="CARmoins1F675">0</definedName>
    <definedName name="CARmoins1F678">0</definedName>
    <definedName name="CARmoins1F680">0</definedName>
    <definedName name="CARmoins1F6811">0</definedName>
    <definedName name="CARmoins1F6812">0</definedName>
    <definedName name="CARmoins1F6815">0</definedName>
    <definedName name="CARmoins1F6816">0</definedName>
    <definedName name="CARmoins1F6817">0</definedName>
    <definedName name="CARmoins1F686">0</definedName>
    <definedName name="CARmoins1F687">0</definedName>
    <definedName name="CARmoins1F6870">0</definedName>
    <definedName name="CARmoins1F6871">0</definedName>
    <definedName name="CARmoins1F6872">0</definedName>
    <definedName name="CARmoins1F68720">0</definedName>
    <definedName name="CARmoins1F68725">0</definedName>
    <definedName name="CARmoins1F6874">0</definedName>
    <definedName name="CARmoins1F68740">0</definedName>
    <definedName name="CARmoins1F68741">0</definedName>
    <definedName name="CARmoins1F68742">0</definedName>
    <definedName name="CARmoins1F68746">0</definedName>
    <definedName name="CARmoins1F687461">0</definedName>
    <definedName name="CARmoins1F687462">0</definedName>
    <definedName name="CARmoins1F68748">0</definedName>
    <definedName name="CARmoins1F6876">0</definedName>
    <definedName name="CARmoins1F689">0</definedName>
    <definedName name="CARmoins1F6894">0</definedName>
    <definedName name="CARmoins1F6895">0</definedName>
    <definedName name="CARmoins1F6897">0</definedName>
    <definedName name="CARmoins1F7082">0</definedName>
    <definedName name="CARmoins1F70821">0</definedName>
    <definedName name="CARmoins1F70822">0</definedName>
    <definedName name="CARmoins1F70823">0</definedName>
    <definedName name="CARmoins1F70828">0</definedName>
    <definedName name="CARmoins1F709D">0</definedName>
    <definedName name="CARmoins1F709D_1">0</definedName>
    <definedName name="CARmoins1F713D">0</definedName>
    <definedName name="CARmoins1F713D_1">0</definedName>
    <definedName name="CARmoins1F73">0</definedName>
    <definedName name="CARmoins1F737">0</definedName>
    <definedName name="CARmoins1F7399">0</definedName>
    <definedName name="CARmoins1F770">0</definedName>
    <definedName name="CARmoins1FS673">0</definedName>
    <definedName name="CARN170">0</definedName>
    <definedName name="CARN171">0</definedName>
    <definedName name="CARNF601">0</definedName>
    <definedName name="CARNF602">0</definedName>
    <definedName name="CARNF603C">0</definedName>
    <definedName name="CARNF603D">0</definedName>
    <definedName name="CARNF603P">0</definedName>
    <definedName name="CARNF606">0</definedName>
    <definedName name="CARNF607">0</definedName>
    <definedName name="CARNF609">0</definedName>
    <definedName name="CARNF609D">0</definedName>
    <definedName name="CARNF609P">0</definedName>
    <definedName name="CARNF610">0</definedName>
    <definedName name="CARNF6110">0</definedName>
    <definedName name="CARNF6111">0</definedName>
    <definedName name="CARNF6112">0</definedName>
    <definedName name="CARNF6118">0</definedName>
    <definedName name="CARNF612">0</definedName>
    <definedName name="CARNF6130">0</definedName>
    <definedName name="CARNF6132">0</definedName>
    <definedName name="CARNF6135">0</definedName>
    <definedName name="CARNF614">0</definedName>
    <definedName name="CARNF6150">0</definedName>
    <definedName name="CARNF6152">0</definedName>
    <definedName name="CARNF6155">0</definedName>
    <definedName name="CARNF6156">0</definedName>
    <definedName name="CARNF616">0</definedName>
    <definedName name="CARNF617">0</definedName>
    <definedName name="CARNF618">0</definedName>
    <definedName name="CARNF619">0</definedName>
    <definedName name="CARNF619D">0</definedName>
    <definedName name="CARNF619P">0</definedName>
    <definedName name="CARNF621">0</definedName>
    <definedName name="CARNF622">0</definedName>
    <definedName name="CARNF623">0</definedName>
    <definedName name="CARNF6240">0</definedName>
    <definedName name="CARNF6241">0</definedName>
    <definedName name="CARNF6242">0</definedName>
    <definedName name="CARNF6247">0</definedName>
    <definedName name="CARNF6248">0</definedName>
    <definedName name="CARNF625">0</definedName>
    <definedName name="CARNF626">0</definedName>
    <definedName name="CARNF627">0</definedName>
    <definedName name="CARNF6280">0</definedName>
    <definedName name="CARNF6281">0</definedName>
    <definedName name="CARNF6282">0</definedName>
    <definedName name="CARNF6283">0</definedName>
    <definedName name="CARNF6284">0</definedName>
    <definedName name="CARNF6287">0</definedName>
    <definedName name="CARNF6288">0</definedName>
    <definedName name="CARNF6289">0</definedName>
    <definedName name="CARNF629">0</definedName>
    <definedName name="CARNF629P">0</definedName>
    <definedName name="CARNF631">0</definedName>
    <definedName name="CARNF633">0</definedName>
    <definedName name="CARNF635">0</definedName>
    <definedName name="CARNF637">0</definedName>
    <definedName name="CARNF640">0</definedName>
    <definedName name="CARNF641">0</definedName>
    <definedName name="CARNF6419">0</definedName>
    <definedName name="CARNF6419P">0</definedName>
    <definedName name="CARNF6419P_1">0</definedName>
    <definedName name="CARNF642">0</definedName>
    <definedName name="CARNF6429">0</definedName>
    <definedName name="CARNF6429P">0</definedName>
    <definedName name="CARNF6429P_1">0</definedName>
    <definedName name="CARNF643">0</definedName>
    <definedName name="CARNF645">0</definedName>
    <definedName name="CARNF646">0</definedName>
    <definedName name="CARNF647">0</definedName>
    <definedName name="CARNF648">0</definedName>
    <definedName name="CARNF6489">0</definedName>
    <definedName name="CARNF6489P">0</definedName>
    <definedName name="CARNF6489P_1">0</definedName>
    <definedName name="CARNF6499">0</definedName>
    <definedName name="CARNF650">0</definedName>
    <definedName name="CARNF651">0</definedName>
    <definedName name="CARNF654">0</definedName>
    <definedName name="CARNF655">0</definedName>
    <definedName name="CARNF657">0</definedName>
    <definedName name="CARNF658">0</definedName>
    <definedName name="CARNF66">0</definedName>
    <definedName name="CARNF6611C">0</definedName>
    <definedName name="CARNF6611P">0</definedName>
    <definedName name="CARNF670">0</definedName>
    <definedName name="CARNF671">0</definedName>
    <definedName name="CARNF675">0</definedName>
    <definedName name="CARNF678">0</definedName>
    <definedName name="CARNF680">0</definedName>
    <definedName name="CARNF6811">0</definedName>
    <definedName name="CARNF6812">0</definedName>
    <definedName name="CARNF6815">0</definedName>
    <definedName name="CARNF6816">0</definedName>
    <definedName name="CARNF6817">0</definedName>
    <definedName name="CARNF686">0</definedName>
    <definedName name="CARNF687">0</definedName>
    <definedName name="CARNF6870">0</definedName>
    <definedName name="CARNF6871">0</definedName>
    <definedName name="CARNF6872">0</definedName>
    <definedName name="CARNF68720">0</definedName>
    <definedName name="CARNF68725">0</definedName>
    <definedName name="CARNF6874">0</definedName>
    <definedName name="CARNF68740">0</definedName>
    <definedName name="CARNF68741">0</definedName>
    <definedName name="CARNF68742">0</definedName>
    <definedName name="CARNF68746">0</definedName>
    <definedName name="CARNF687461">0</definedName>
    <definedName name="CARNF687462">0</definedName>
    <definedName name="CARNF68748">0</definedName>
    <definedName name="CARNF6876">0</definedName>
    <definedName name="CARNF689">0</definedName>
    <definedName name="CARNF6894">0</definedName>
    <definedName name="CARNF6895">0</definedName>
    <definedName name="CARNF6897">0</definedName>
    <definedName name="CARNF70">0</definedName>
    <definedName name="CARNF7082">0</definedName>
    <definedName name="CARNF70821">0</definedName>
    <definedName name="CARNF70822">0</definedName>
    <definedName name="CARNF70823">0</definedName>
    <definedName name="CARNF70828">0</definedName>
    <definedName name="CARNF709D">0</definedName>
    <definedName name="CARNF709D_1">0</definedName>
    <definedName name="CARNF71">0</definedName>
    <definedName name="CARNF713D">0</definedName>
    <definedName name="CARNF713D_1">0</definedName>
    <definedName name="CARNF72">0</definedName>
    <definedName name="CARNF73">0</definedName>
    <definedName name="CARNF731">0</definedName>
    <definedName name="CARNF732">0</definedName>
    <definedName name="CARNF734">0</definedName>
    <definedName name="CARNF736">0</definedName>
    <definedName name="CARNF737">0</definedName>
    <definedName name="CARNF7399">0</definedName>
    <definedName name="CARNF74">0</definedName>
    <definedName name="CARNF75">0</definedName>
    <definedName name="CARNF76">0</definedName>
    <definedName name="CARNF770">0</definedName>
    <definedName name="CARNF771">0</definedName>
    <definedName name="CARNF773">0</definedName>
    <definedName name="CARNF775">0</definedName>
    <definedName name="CARNF777">0</definedName>
    <definedName name="CARNF778">0</definedName>
    <definedName name="CARNF78">0</definedName>
    <definedName name="CARNF78725">0</definedName>
    <definedName name="CARNF78741">0</definedName>
    <definedName name="CARNF78742">0</definedName>
    <definedName name="CARNF78746">0</definedName>
    <definedName name="CARNF789">0</definedName>
    <definedName name="CARNF79">0</definedName>
    <definedName name="CARNFS673">0</definedName>
    <definedName name="CARNmoins1F603C">0</definedName>
    <definedName name="CARNmoins1F603P">0</definedName>
    <definedName name="CARNmoins1F609">0</definedName>
    <definedName name="CARNmoins1F609P">0</definedName>
    <definedName name="CARNmoins1F619">0</definedName>
    <definedName name="CARNmoins1F619P">0</definedName>
    <definedName name="CARNmoins1F629">0</definedName>
    <definedName name="CARNmoins1F629P">0</definedName>
    <definedName name="CARNmoins1F6419">0</definedName>
    <definedName name="CARNmoins1F6419P">0</definedName>
    <definedName name="CARNmoins1F6429">0</definedName>
    <definedName name="CARNmoins1F6429P">0</definedName>
    <definedName name="CARNmoins1F6489">0</definedName>
    <definedName name="CARNmoins1F6489P">0</definedName>
    <definedName name="CARNmoins1F6611C">0</definedName>
    <definedName name="CARNmoins1F6611P">0</definedName>
    <definedName name="CARNmoins1F70">0</definedName>
    <definedName name="CARNmoins1F7082">0</definedName>
    <definedName name="CARNmoins1F70821">0</definedName>
    <definedName name="CARNmoins1F70822">0</definedName>
    <definedName name="CARNmoins1F70823">0</definedName>
    <definedName name="CARNmoins1F70828">0</definedName>
    <definedName name="CARNmoins1F71">0</definedName>
    <definedName name="CARNmoins1F72">0</definedName>
    <definedName name="CARNmoins1F731">0</definedName>
    <definedName name="CARNmoins1F732">0</definedName>
    <definedName name="CARNmoins1F734">0</definedName>
    <definedName name="CARNmoins1F736">0</definedName>
    <definedName name="CARNmoins1F737">0</definedName>
    <definedName name="CARNmoins1F74">0</definedName>
    <definedName name="CARNmoins1F75">0</definedName>
    <definedName name="CARNmoins1F76">0</definedName>
    <definedName name="CARNmoins1F771">0</definedName>
    <definedName name="CARNmoins1F773">0</definedName>
    <definedName name="CARNmoins1F775">0</definedName>
    <definedName name="CARNmoins1F777">0</definedName>
    <definedName name="CARNmoins1F778">0</definedName>
    <definedName name="CARNmoins1F78">0</definedName>
    <definedName name="CARNmoins1F78725">0</definedName>
    <definedName name="CARNmoins1F78741">0</definedName>
    <definedName name="CARNmoins1F78742">0</definedName>
    <definedName name="CARNmoins1F78746">0</definedName>
    <definedName name="CARNmoins1F789">0</definedName>
    <definedName name="CARNmoins1F79">0</definedName>
    <definedName name="CARORGFINA">0</definedName>
    <definedName name="CARPDTCONSAVAN">0</definedName>
    <definedName name="CARPRODEPRTIERS">0</definedName>
    <definedName name="CARPROVRESRVTRESO">0</definedName>
    <definedName name="CARPROVRISCHAR">0</definedName>
    <definedName name="CARRAN">0</definedName>
    <definedName name="CARRCPTELIAISONINV">0</definedName>
    <definedName name="CARRCPTELIAISSTAB">0</definedName>
    <definedName name="CARREDEV">0</definedName>
    <definedName name="CARREGIEAVANCE">0</definedName>
    <definedName name="CARRESERINVES">0</definedName>
    <definedName name="CARRESEXE">0</definedName>
    <definedName name="CARSTOCKS">0</definedName>
    <definedName name="CARSUBINVREN">0</definedName>
    <definedName name="CARTERRAINSB">0</definedName>
    <definedName name="CARTOTBIENAFINA">0</definedName>
    <definedName name="CARTOTDETTEEXP">0</definedName>
    <definedName name="CARTOTDOTAMO">0</definedName>
    <definedName name="CARTOTEMPSTABLE">0</definedName>
    <definedName name="CARTOTFINAN">0</definedName>
    <definedName name="CARTOTFINCT">0</definedName>
    <definedName name="CARTOTFINSTABLINV">0</definedName>
    <definedName name="CARTOTLIQUID">0</definedName>
    <definedName name="CARTOTVALEXPLOI">0</definedName>
    <definedName name="CARTRESNEGES">0</definedName>
    <definedName name="CARTRESOACT">0</definedName>
    <definedName name="CARTRESORERIE">0</definedName>
    <definedName name="CARVMP">0</definedName>
    <definedName name="categorie">[1]Liste!$C$2:$C$36</definedName>
    <definedName name="CB10686_CAproposé">0</definedName>
    <definedName name="CB10686_CAproposé_Dép">0</definedName>
    <definedName name="CB10686_CAproposé_Héb">0</definedName>
    <definedName name="CB10686_CAproposé_Soins">0</definedName>
    <definedName name="CB10686_CAretenu">0</definedName>
    <definedName name="CB10686_CAretenu_Dép">0</definedName>
    <definedName name="CB10686_CAretenu_Héb">0</definedName>
    <definedName name="CB10686_CAretenu_Soins">0</definedName>
    <definedName name="CB10686_Dép_CAPN0">0</definedName>
    <definedName name="CB10686_Dép_CARN0">0</definedName>
    <definedName name="CB10686_Héb_CAPN0">0</definedName>
    <definedName name="CB10686_Héb_CARN0">0</definedName>
    <definedName name="CB10686_Soi_CAPN0">0</definedName>
    <definedName name="CB10686_Soi_CARN0">0</definedName>
    <definedName name="CB10687_CAproposé">0</definedName>
    <definedName name="CB10687_CAproposé_Dép">0</definedName>
    <definedName name="CB10687_CAproposé_Héb">0</definedName>
    <definedName name="CB10687_CAproposé_Soins">0</definedName>
    <definedName name="CB10687_CAretenu">0</definedName>
    <definedName name="CB10687_CAretenu_Dép">0</definedName>
    <definedName name="CB10687_CAretenu_Héb">0</definedName>
    <definedName name="CB10687_CAretenu_Soins">0</definedName>
    <definedName name="CB10687_Dép_CAPN0">0</definedName>
    <definedName name="CB10687_Dép_CARN0">0</definedName>
    <definedName name="CB10687_Héb_CAPN0">0</definedName>
    <definedName name="CB10687_Héb_CARN0">0</definedName>
    <definedName name="CB10687_Soi_CAPN0">0</definedName>
    <definedName name="CB10687_Soi_CARN0">0</definedName>
    <definedName name="CCapDuAnneePrec">0</definedName>
    <definedName name="CCapDuAnneePrec_MN">0</definedName>
    <definedName name="CCapVerseN">0</definedName>
    <definedName name="CCapVerseN_MN">0</definedName>
    <definedName name="CCC142_CAretenu_moins2">0</definedName>
    <definedName name="CCC142_CAretenu_moins3">0</definedName>
    <definedName name="CCC142_CAretenu_moins4">0</definedName>
    <definedName name="CCC6021_soi_BEXN0">0</definedName>
    <definedName name="CCC6021_soi_CAPN0">0</definedName>
    <definedName name="CCC6021_soi_CARN0">0</definedName>
    <definedName name="CCC6021_soi_CARN1">0</definedName>
    <definedName name="CCC6021_soi_DM1N0">0</definedName>
    <definedName name="CCC6021MSNN0">0</definedName>
    <definedName name="CCC60222_dep_BEXN0">0</definedName>
    <definedName name="CCC60222_dep_CAPN0">0</definedName>
    <definedName name="CCC60222_dep_CARN0">0</definedName>
    <definedName name="CCC60222_dep_CARN1">0</definedName>
    <definedName name="CCC60222_dep_DM1N0">0</definedName>
    <definedName name="CCC60222_heb_BEXN0">0</definedName>
    <definedName name="CCC60222_heb_CAPN0">0</definedName>
    <definedName name="CCC60222_heb_CARN0">0</definedName>
    <definedName name="CCC60222_heb_CARN1">0</definedName>
    <definedName name="CCC60222_heb_DM1N0">0</definedName>
    <definedName name="CCC60226_dep_BEXN0">0</definedName>
    <definedName name="CCC60226_dep_CAPN0">0</definedName>
    <definedName name="CCC60226_dep_CARN0">0</definedName>
    <definedName name="CCC60226_dep_CARN1">0</definedName>
    <definedName name="CCC60226_dep_DM1N0">0</definedName>
    <definedName name="CCC60226_heb_BEXN0">0</definedName>
    <definedName name="CCC60226_heb_CAPN0">0</definedName>
    <definedName name="CCC60226_heb_CARN0">0</definedName>
    <definedName name="CCC60226_heb_CARN1">0</definedName>
    <definedName name="CCC60226_heb_DM1N0">0</definedName>
    <definedName name="CCC602261_dep_BEXN0">0</definedName>
    <definedName name="CCC602261_dep_CAPN0">0</definedName>
    <definedName name="CCC602261_dep_CARN0">0</definedName>
    <definedName name="CCC602261_dep_CARN1">0</definedName>
    <definedName name="CCC602261_dep_DM1N0">0</definedName>
    <definedName name="CCC602261MSNN0">0</definedName>
    <definedName name="CCC60226MSNN0">0</definedName>
    <definedName name="CCC6023_heb_BEXN0">0</definedName>
    <definedName name="CCC6023_heb_CAPN0">0</definedName>
    <definedName name="CCC6023_heb_CARN0">0</definedName>
    <definedName name="CCC6023_heb_CARN1">0</definedName>
    <definedName name="CCC6023_heb_DM1N0">0</definedName>
    <definedName name="CCC60321_soi_BEXN0">0</definedName>
    <definedName name="CCC60321_soi_CAPN0">0</definedName>
    <definedName name="CCC60321_soi_CARN0">0</definedName>
    <definedName name="CCC60321_soi_CARN1">0</definedName>
    <definedName name="CCC60321_soi_DM1N0">0</definedName>
    <definedName name="CCC60321MSNN0">0</definedName>
    <definedName name="CCC603222_dep_BEXN0">0</definedName>
    <definedName name="CCC603222_dep_CAPN0">0</definedName>
    <definedName name="CCC603222_dep_CARN0">0</definedName>
    <definedName name="CCC603222_dep_CARN1">0</definedName>
    <definedName name="CCC603222_dep_DM1N0">0</definedName>
    <definedName name="CCC603222_heb_BEXN0">0</definedName>
    <definedName name="CCC603222_heb_CAPN0">0</definedName>
    <definedName name="CCC603222_heb_CARN0">0</definedName>
    <definedName name="CCC603222_heb_CARN1">0</definedName>
    <definedName name="CCC603222_heb_DM1N0">0</definedName>
    <definedName name="CCC603226_dep_BEXN0">0</definedName>
    <definedName name="CCC603226_dep_CAPN0">0</definedName>
    <definedName name="CCC603226_dep_CARN0">0</definedName>
    <definedName name="CCC603226_dep_CARN1">0</definedName>
    <definedName name="CCC603226_dep_DM1N0">0</definedName>
    <definedName name="CCC603226_heb_BEXN0">0</definedName>
    <definedName name="CCC603226_heb_CAPN0">0</definedName>
    <definedName name="CCC603226_heb_CARN0">0</definedName>
    <definedName name="CCC603226_heb_CARN1">0</definedName>
    <definedName name="CCC603226_heb_DM1N0">0</definedName>
    <definedName name="CCC6032261">0</definedName>
    <definedName name="CCC6032261_dep_BEXN0">0</definedName>
    <definedName name="CCC6032261_dep_CAPN0">0</definedName>
    <definedName name="CCC6032261_dep_CARN0">0</definedName>
    <definedName name="CCC6032261_dep_CARN1">0</definedName>
    <definedName name="CCC6032261_dep_DM1N0">0</definedName>
    <definedName name="CCC6032261MSNN0">0</definedName>
    <definedName name="CCC603226MSNN0">0</definedName>
    <definedName name="CCC60323_heb_BEXN0">0</definedName>
    <definedName name="CCC60323_heb_CAPN0">0</definedName>
    <definedName name="CCC60323_heb_CARN0">0</definedName>
    <definedName name="CCC60323_heb_CARN1">0</definedName>
    <definedName name="CCC60323_heb_DM1N0">0</definedName>
    <definedName name="CCC60622_dep_BEXN0">0</definedName>
    <definedName name="CCC60622_dep_CAPN0">0</definedName>
    <definedName name="CCC60622_dep_CARN0">0</definedName>
    <definedName name="CCC60622_dep_CARN1">0</definedName>
    <definedName name="CCC60622_dep_DM1N0">0</definedName>
    <definedName name="CCC60622_heb_BEXN0">0</definedName>
    <definedName name="CCC60622_heb_CAPN0">0</definedName>
    <definedName name="CCC60622_heb_CARN0">0</definedName>
    <definedName name="CCC60622_heb_CARN1">0</definedName>
    <definedName name="CCC60622_heb_DM1N0">0</definedName>
    <definedName name="CCC60622MSNN0">0</definedName>
    <definedName name="CCC60626_dep_BEXN0">0</definedName>
    <definedName name="CCC60626_dep_CAPN0">0</definedName>
    <definedName name="CCC60626_dep_CARN0">0</definedName>
    <definedName name="CCC60626_dep_CARN1">0</definedName>
    <definedName name="CCC60626_dep_DM1N0">0</definedName>
    <definedName name="CCC60626_heb_BEXN0">0</definedName>
    <definedName name="CCC60626_heb_CAPN0">0</definedName>
    <definedName name="CCC60626_heb_CARN0">0</definedName>
    <definedName name="CCC60626_heb_CARN1">0</definedName>
    <definedName name="CCC60626_heb_DM1N0">0</definedName>
    <definedName name="CCC606261_dep_BEXN0">0</definedName>
    <definedName name="CCC606261_dep_CAPN0">0</definedName>
    <definedName name="CCC606261_dep_CARN0">0</definedName>
    <definedName name="CCC606261_dep_CARN1">0</definedName>
    <definedName name="CCC606261_dep_DM1N0">0</definedName>
    <definedName name="CCC606261MSNN0">0</definedName>
    <definedName name="CCC60626MSNN0">0</definedName>
    <definedName name="CCC6063_heb_BEXN0">0</definedName>
    <definedName name="CCC6063_heb_CAPN0">0</definedName>
    <definedName name="CCC6063_heb_CARN0">0</definedName>
    <definedName name="CCC6063_heb_CARN1">0</definedName>
    <definedName name="CCC6063_heb_DM1N0">0</definedName>
    <definedName name="CCC6066_soi_BEXN0">0</definedName>
    <definedName name="CCC6066_soi_CAPN0">0</definedName>
    <definedName name="CCC6066_soi_CARN0">0</definedName>
    <definedName name="CCC6066_soi_CARN1">0</definedName>
    <definedName name="CCC6066_soi_DM1N0">0</definedName>
    <definedName name="CCC6066MSNN0">0</definedName>
    <definedName name="CCC6071_soi_BEXN0">0</definedName>
    <definedName name="CCC6071_soi_CAPN0">0</definedName>
    <definedName name="CCC6071_soi_CARN0">0</definedName>
    <definedName name="CCC6071_soi_CARN1">0</definedName>
    <definedName name="CCC6071_soi_DM1N0">0</definedName>
    <definedName name="CCC610BEXN0">0</definedName>
    <definedName name="CCC610BEXN1">0</definedName>
    <definedName name="CCC610BPPN0">0</definedName>
    <definedName name="CCC610CARN2">0</definedName>
    <definedName name="CCC610MSNN0">0</definedName>
    <definedName name="CCC61121_soi_BEXN0">0</definedName>
    <definedName name="CCC61121_soi_CAPN0">0</definedName>
    <definedName name="CCC61121_soi_CARN0">0</definedName>
    <definedName name="CCC61121_soi_CARN1">0</definedName>
    <definedName name="CCC61121_soi_DM1N0">0</definedName>
    <definedName name="CCC61121MSNN0">0</definedName>
    <definedName name="CCC6131_soi_BEXN0">0</definedName>
    <definedName name="CCC6131_soi_CAPN0">0</definedName>
    <definedName name="CCC6131_soi_CARN0">0</definedName>
    <definedName name="CCC6131_soi_CARN1">0</definedName>
    <definedName name="CCC6131_soi_DM1N0">0</definedName>
    <definedName name="CCC6135_dep_BEXN0">0</definedName>
    <definedName name="CCC6135_dep_CAPN0">0</definedName>
    <definedName name="CCC6135_dep_CARN0">0</definedName>
    <definedName name="CCC6135_dep_CARN1">0</definedName>
    <definedName name="CCC6135_dep_DM1N0">0</definedName>
    <definedName name="CCC6135_soi_BEXN0">0</definedName>
    <definedName name="CCC6135_soi_CAPN0">0</definedName>
    <definedName name="CCC6135_soi_CARN0">0</definedName>
    <definedName name="CCC6135_soi_CARN1">0</definedName>
    <definedName name="CCC6135_soi_DM1N0">0</definedName>
    <definedName name="CCC6151_soi_BEXN0">0</definedName>
    <definedName name="CCC6151_soi_CAPN0">0</definedName>
    <definedName name="CCC6151_soi_CARN0">0</definedName>
    <definedName name="CCC6151_soi_CARN1">0</definedName>
    <definedName name="CCC6151_soi_DM1N0">0</definedName>
    <definedName name="CCC61551_soi_BEXN0">0</definedName>
    <definedName name="CCC61551_soi_CAPN0">0</definedName>
    <definedName name="CCC61551_soi_CARN0">0</definedName>
    <definedName name="CCC61551_soi_CARN1">0</definedName>
    <definedName name="CCC61551_soi_DM1N0">0</definedName>
    <definedName name="CCC61551MSNN0">0</definedName>
    <definedName name="CCC61562_soi_BEXN0">0</definedName>
    <definedName name="CCC61562_soi_CAPN0">0</definedName>
    <definedName name="CCC61562_soi_CARN0">0</definedName>
    <definedName name="CCC61562_soi_CARN1">0</definedName>
    <definedName name="CCC61562_soi_DM1N0">0</definedName>
    <definedName name="CCC61562MSNN0">0</definedName>
    <definedName name="CCC61681_Dép">0</definedName>
    <definedName name="CCC61681_dep_BEXN0">0</definedName>
    <definedName name="CCC61681_dep_CAPN0">0</definedName>
    <definedName name="CCC61681_dep_CARN0">0</definedName>
    <definedName name="CCC61681_dep_CARN1">0</definedName>
    <definedName name="CCC61681_dep_DM1N0">0</definedName>
    <definedName name="CCC61681_DépMSNN0">0</definedName>
    <definedName name="CCC61681_Héb">0</definedName>
    <definedName name="CCC61681_heb_BEXN0">0</definedName>
    <definedName name="CCC61681_heb_CAPN0">0</definedName>
    <definedName name="CCC61681_heb_CARN0">0</definedName>
    <definedName name="CCC61681_heb_CARN1">0</definedName>
    <definedName name="CCC61681_heb_DM1N0">0</definedName>
    <definedName name="CCC61681_HébMSNN0">0</definedName>
    <definedName name="CCC61681_Soi">0</definedName>
    <definedName name="CCC61681_soi_BEXN0">0</definedName>
    <definedName name="CCC61681_soi_CAPN0">0</definedName>
    <definedName name="CCC61681_soi_CARN0">0</definedName>
    <definedName name="CCC61681_soi_CARN1">0</definedName>
    <definedName name="CCC61681_soi_DM1N0">0</definedName>
    <definedName name="CCC61681_SoiMSNN0">0</definedName>
    <definedName name="CCC621_dep_BEXN0">0</definedName>
    <definedName name="CCC621_dep_CAPN0">0</definedName>
    <definedName name="CCC621_dep_CARN0">0</definedName>
    <definedName name="CCC621_dep_CARN1">0</definedName>
    <definedName name="CCC621_dep_DM1N0">0</definedName>
    <definedName name="CCC621_DépMSNN0">0</definedName>
    <definedName name="CCC621_HébMSNN0">0</definedName>
    <definedName name="CCC621_soi_BEXN0">0</definedName>
    <definedName name="CCC621_soi_CAPN0">0</definedName>
    <definedName name="CCC621_soi_CARN0">0</definedName>
    <definedName name="CCC621_soi_CARN1">0</definedName>
    <definedName name="CCC621_soi_DM1N0">0</definedName>
    <definedName name="CCC621_SoiMSNN0">0</definedName>
    <definedName name="CCC62113_soi_BEXN0">0</definedName>
    <definedName name="CCC62113_soi_CAPN0">0</definedName>
    <definedName name="CCC62113_soi_CARN0">0</definedName>
    <definedName name="CCC62113_soi_CARN1">0</definedName>
    <definedName name="CCC62113_soi_DM1N0">0</definedName>
    <definedName name="CCC622_dep_BEXN0">0</definedName>
    <definedName name="CCC622_dep_CAPN0">0</definedName>
    <definedName name="CCC622_dep_CARN0">0</definedName>
    <definedName name="CCC622_dep_CARN1">0</definedName>
    <definedName name="CCC622_dep_DM1N0">0</definedName>
    <definedName name="CCC622_soi_BEXN0">0</definedName>
    <definedName name="CCC622_soi_CAPN0">0</definedName>
    <definedName name="CCC622_soi_CARN0">0</definedName>
    <definedName name="CCC622_soi_CARN1">0</definedName>
    <definedName name="CCC622_soi_DM1N0">0</definedName>
    <definedName name="CCC6223_soi_BEXN0">0</definedName>
    <definedName name="CCC6223_soi_CAPN0">0</definedName>
    <definedName name="CCC6223_soi_CARN0">0</definedName>
    <definedName name="CCC6223_soi_CARN1">0</definedName>
    <definedName name="CCC6223_soi_DM1N0">0</definedName>
    <definedName name="CCC6223MSNN0">0</definedName>
    <definedName name="CCC6240BEXN0">0</definedName>
    <definedName name="CCC6240BEXN1">0</definedName>
    <definedName name="CCC6240BPPN0">0</definedName>
    <definedName name="CCC6240CARN2">0</definedName>
    <definedName name="CCC6240MSNN0">0</definedName>
    <definedName name="CCC631_dep_BEXN0">0</definedName>
    <definedName name="CCC631_dep_CAPN0">0</definedName>
    <definedName name="CCC631_dep_CARN0">0</definedName>
    <definedName name="CCC631_dep_CARN1">0</definedName>
    <definedName name="CCC631_dep_DM1N0">0</definedName>
    <definedName name="CCC631_DépMSNN0">0</definedName>
    <definedName name="CCC631_HébMSNN0">0</definedName>
    <definedName name="CCC631_soi_BEXN0">0</definedName>
    <definedName name="CCC631_soi_CAPN0">0</definedName>
    <definedName name="CCC631_soi_CARN0">0</definedName>
    <definedName name="CCC631_soi_CARN1">0</definedName>
    <definedName name="CCC631_soi_DM1N0">0</definedName>
    <definedName name="CCC631_SoiMSNN0">0</definedName>
    <definedName name="CCC633_dep_BEXN0">0</definedName>
    <definedName name="CCC633_dep_CAPN0">0</definedName>
    <definedName name="CCC633_dep_CARN0">0</definedName>
    <definedName name="CCC633_dep_CARN1">0</definedName>
    <definedName name="CCC633_dep_DM1N0">0</definedName>
    <definedName name="CCC633_DépMSNN0">0</definedName>
    <definedName name="CCC633_HébMSNN0">0</definedName>
    <definedName name="CCC633_soi_BEXN0">0</definedName>
    <definedName name="CCC633_soi_CAPN0">0</definedName>
    <definedName name="CCC633_soi_CARN0">0</definedName>
    <definedName name="CCC633_soi_CARN1">0</definedName>
    <definedName name="CCC633_soi_DM1N0">0</definedName>
    <definedName name="CCC633_SoiMSNN0">0</definedName>
    <definedName name="CCC64_DépMSNN0">0</definedName>
    <definedName name="CCC64_HébMSNN0">0</definedName>
    <definedName name="CCC64_SoiMSNN0">0</definedName>
    <definedName name="CCC640_dep_BEXN0">0</definedName>
    <definedName name="CCC640_dep_CAPN0">0</definedName>
    <definedName name="CCC640_dep_CARN0">0</definedName>
    <definedName name="CCC640_dep_CARN1">0</definedName>
    <definedName name="CCC640_dep_DM1N0">0</definedName>
    <definedName name="CCC640_soi_BEXN0">0</definedName>
    <definedName name="CCC640_soi_CAPN0">0</definedName>
    <definedName name="CCC640_soi_CARN0">0</definedName>
    <definedName name="CCC640_soi_CARN1">0</definedName>
    <definedName name="CCC640_soi_DM1N0">0</definedName>
    <definedName name="CCC641_dep_BEXN0">0</definedName>
    <definedName name="CCC641_dep_CAPN0">0</definedName>
    <definedName name="CCC641_dep_CARN0">0</definedName>
    <definedName name="CCC641_dep_CARN1">0</definedName>
    <definedName name="CCC641_dep_DM1N0">0</definedName>
    <definedName name="CCC641_soi_BEXN0">0</definedName>
    <definedName name="CCC641_soi_CAPN0">0</definedName>
    <definedName name="CCC641_soi_CARN0">0</definedName>
    <definedName name="CCC641_soi_CARN1">0</definedName>
    <definedName name="CCC641_soi_DM1N0">0</definedName>
    <definedName name="CCC642_dep_BEXN0">0</definedName>
    <definedName name="CCC642_dep_CAPN0">0</definedName>
    <definedName name="CCC642_dep_CARN0">0</definedName>
    <definedName name="CCC642_dep_CARN1">0</definedName>
    <definedName name="CCC642_dep_DM1N0">0</definedName>
    <definedName name="CCC642_soi_BEXN0">0</definedName>
    <definedName name="CCC642_soi_CAPN0">0</definedName>
    <definedName name="CCC642_soi_CARN0">0</definedName>
    <definedName name="CCC642_soi_CARN1">0</definedName>
    <definedName name="CCC642_soi_DM1N0">0</definedName>
    <definedName name="CCC643_dep_BEXN0">0</definedName>
    <definedName name="CCC643_dep_CAPN0">0</definedName>
    <definedName name="CCC643_dep_CARN0">0</definedName>
    <definedName name="CCC643_dep_CARN1">0</definedName>
    <definedName name="CCC643_dep_DM1N0">0</definedName>
    <definedName name="CCC643_soi_BEXN0">0</definedName>
    <definedName name="CCC643_soi_CAPN0">0</definedName>
    <definedName name="CCC643_soi_CARN0">0</definedName>
    <definedName name="CCC643_soi_CARN1">0</definedName>
    <definedName name="CCC643_soi_DM1N0">0</definedName>
    <definedName name="CCC645_dep_BEXN0">0</definedName>
    <definedName name="CCC645_dep_CAPN0">0</definedName>
    <definedName name="CCC645_dep_CARN0">0</definedName>
    <definedName name="CCC645_dep_CARN1">0</definedName>
    <definedName name="CCC645_dep_DM1N0">0</definedName>
    <definedName name="CCC645_soi_BEXN0">0</definedName>
    <definedName name="CCC645_soi_CAPN0">0</definedName>
    <definedName name="CCC645_soi_CARN0">0</definedName>
    <definedName name="CCC645_soi_CARN1">0</definedName>
    <definedName name="CCC645_soi_DM1N0">0</definedName>
    <definedName name="CCC646_dep_BEXN0">0</definedName>
    <definedName name="CCC646_dep_CAPN0">0</definedName>
    <definedName name="CCC646_dep_CARN0">0</definedName>
    <definedName name="CCC646_dep_CARN1">0</definedName>
    <definedName name="CCC646_dep_DM1N0">0</definedName>
    <definedName name="CCC646_soi_BEXN0">0</definedName>
    <definedName name="CCC646_soi_CAPN0">0</definedName>
    <definedName name="CCC646_soi_CARN0">0</definedName>
    <definedName name="CCC646_soi_CARN1">0</definedName>
    <definedName name="CCC646_soi_DM1N0">0</definedName>
    <definedName name="CCC647_dep_BEXN0">0</definedName>
    <definedName name="CCC647_dep_CAPN0">0</definedName>
    <definedName name="CCC647_dep_CARN0">0</definedName>
    <definedName name="CCC647_dep_CARN1">0</definedName>
    <definedName name="CCC647_dep_DM1N0">0</definedName>
    <definedName name="CCC647_soi_BEXN0">0</definedName>
    <definedName name="CCC647_soi_CAPN0">0</definedName>
    <definedName name="CCC647_soi_CARN0">0</definedName>
    <definedName name="CCC647_soi_CARN1">0</definedName>
    <definedName name="CCC647_soi_DM1N0">0</definedName>
    <definedName name="CCC648_dep_BEXN0">0</definedName>
    <definedName name="CCC648_dep_CAPN0">0</definedName>
    <definedName name="CCC648_dep_CARN0">0</definedName>
    <definedName name="CCC648_dep_CARN1">0</definedName>
    <definedName name="CCC648_dep_DM1N0">0</definedName>
    <definedName name="CCC648_soi_BEXN0">0</definedName>
    <definedName name="CCC648_soi_CAPN0">0</definedName>
    <definedName name="CCC648_soi_CARN0">0</definedName>
    <definedName name="CCC648_soi_CARN1">0</definedName>
    <definedName name="CCC648_soi_DM1N0">0</definedName>
    <definedName name="CCC6499_dep_BEXN0">0</definedName>
    <definedName name="CCC6499_dep_CAPN0">0</definedName>
    <definedName name="CCC6499_dep_CARN0">0</definedName>
    <definedName name="CCC6499_dep_CARN1">0</definedName>
    <definedName name="CCC6499_dep_DM1N0">0</definedName>
    <definedName name="CCC6499_soi_BEXN0">0</definedName>
    <definedName name="CCC6499_soi_CAPN0">0</definedName>
    <definedName name="CCC6499_soi_CARN0">0</definedName>
    <definedName name="CCC6499_soi_CARN1">0</definedName>
    <definedName name="CCC6499_soi_DM1N0">0</definedName>
    <definedName name="CCC6611AN_Simulatio">0</definedName>
    <definedName name="CCC6611AN_Simulatio_1">0</definedName>
    <definedName name="CCC6611AN_Simulatio_2">0</definedName>
    <definedName name="CCC6611AN_Simulatio_3">0</definedName>
    <definedName name="CCC6611AN_Simulatio_4">0</definedName>
    <definedName name="CCC6611NV_Simulatio">0</definedName>
    <definedName name="CCC6611NV_Simulatio_1">0</definedName>
    <definedName name="CCC6611NV_Simulatio_2">0</definedName>
    <definedName name="CCC6611NV_Simulatio_3">0</definedName>
    <definedName name="CCC6611NV_Simulatio_4">0</definedName>
    <definedName name="CCC670_dep_BEXN0">0</definedName>
    <definedName name="CCC670_dep_CAPN0">0</definedName>
    <definedName name="CCC670_dep_CARN0">0</definedName>
    <definedName name="CCC670_dep_CARN1">0</definedName>
    <definedName name="CCC670_dep_DM1N0">0</definedName>
    <definedName name="CCC670_soi_BEXN0">0</definedName>
    <definedName name="CCC670_soi_CAPN0">0</definedName>
    <definedName name="CCC670_soi_CARN0">0</definedName>
    <definedName name="CCC670_soi_CARN1">0</definedName>
    <definedName name="CCC670_soi_DM1N0">0</definedName>
    <definedName name="CCC671_dep_BEXN0">0</definedName>
    <definedName name="CCC671_dep_CAPN0">0</definedName>
    <definedName name="CCC671_dep_CARN0">0</definedName>
    <definedName name="CCC671_dep_CARN1">0</definedName>
    <definedName name="CCC671_dep_DM1N0">0</definedName>
    <definedName name="CCC671_soi_BEXN0">0</definedName>
    <definedName name="CCC671_soi_CAPN0">0</definedName>
    <definedName name="CCC671_soi_CARN0">0</definedName>
    <definedName name="CCC671_soi_CARN1">0</definedName>
    <definedName name="CCC671_soi_DM1N0">0</definedName>
    <definedName name="CCC673_dep_BEXN0">0</definedName>
    <definedName name="CCC673_dep_CAPN0">0</definedName>
    <definedName name="CCC673_dep_CARN0">0</definedName>
    <definedName name="CCC673_dep_CARN1">0</definedName>
    <definedName name="CCC673_dep_DM1N0">0</definedName>
    <definedName name="CCC673_soi_BEXN0">0</definedName>
    <definedName name="CCC673_soi_CAPN0">0</definedName>
    <definedName name="CCC673_soi_CARN0">0</definedName>
    <definedName name="CCC673_soi_CARN1">0</definedName>
    <definedName name="CCC673_soi_DM1N0">0</definedName>
    <definedName name="CCC675_dep_BEXN0">0</definedName>
    <definedName name="CCC675_dep_CAPN0">0</definedName>
    <definedName name="CCC675_dep_CARN0">0</definedName>
    <definedName name="CCC675_dep_CARN1">0</definedName>
    <definedName name="CCC675_dep_DM1N0">0</definedName>
    <definedName name="CCC675_soi_BEXN0">0</definedName>
    <definedName name="CCC675_soi_CAPN0">0</definedName>
    <definedName name="CCC675_soi_CARN0">0</definedName>
    <definedName name="CCC675_soi_CARN1">0</definedName>
    <definedName name="CCC675_soi_DM1N0">0</definedName>
    <definedName name="CCC678_dep_BEXN0">0</definedName>
    <definedName name="CCC678_dep_CAPN0">0</definedName>
    <definedName name="CCC678_dep_CARN0">0</definedName>
    <definedName name="CCC678_dep_CARN1">0</definedName>
    <definedName name="CCC678_dep_DM1N0">0</definedName>
    <definedName name="CCC678_soi_BEXN0">0</definedName>
    <definedName name="CCC678_soi_CAPN0">0</definedName>
    <definedName name="CCC678_soi_CARN0">0</definedName>
    <definedName name="CCC678_soi_CARN1">0</definedName>
    <definedName name="CCC678_soi_DM1N0">0</definedName>
    <definedName name="CCC68_Dép">0</definedName>
    <definedName name="CCC68_DépMSNN0">0</definedName>
    <definedName name="CCC68_Héb">0</definedName>
    <definedName name="CCC68_HébMSNN0">0</definedName>
    <definedName name="CCC68_Soi">0</definedName>
    <definedName name="CCC68_SoiMSNN0">0</definedName>
    <definedName name="CCC680_dep_BEXN0">0</definedName>
    <definedName name="CCC680_dep_CAPN0">0</definedName>
    <definedName name="CCC680_dep_CARN0">0</definedName>
    <definedName name="CCC680_dep_CARN1">0</definedName>
    <definedName name="CCC680_dep_DM1N0">0</definedName>
    <definedName name="CCC680_soi_BEXN0">0</definedName>
    <definedName name="CCC680_soi_CAPN0">0</definedName>
    <definedName name="CCC680_soi_CARN0">0</definedName>
    <definedName name="CCC680_soi_CARN1">0</definedName>
    <definedName name="CCC680_soi_DM1N0">0</definedName>
    <definedName name="CCC6811_dep_BEXN0">0</definedName>
    <definedName name="CCC6811_dep_CAPN0">0</definedName>
    <definedName name="CCC6811_dep_CARN0">0</definedName>
    <definedName name="CCC6811_dep_CARN1">0</definedName>
    <definedName name="CCC6811_dep_DM1N0">0</definedName>
    <definedName name="CCC6811_soi_BEXN0">0</definedName>
    <definedName name="CCC6811_soi_CAPN0">0</definedName>
    <definedName name="CCC6811_soi_CARN0">0</definedName>
    <definedName name="CCC6811_soi_CARN1">0</definedName>
    <definedName name="CCC6811_soi_DM1N0">0</definedName>
    <definedName name="CCC6812_dep_BEXN0">0</definedName>
    <definedName name="CCC6812_dep_CAPN0">0</definedName>
    <definedName name="CCC6812_dep_CARN0">0</definedName>
    <definedName name="CCC6812_dep_CARN1">0</definedName>
    <definedName name="CCC6812_dep_DM1N0">0</definedName>
    <definedName name="CCC6812_soi_BEXN0">0</definedName>
    <definedName name="CCC6812_soi_CAPN0">0</definedName>
    <definedName name="CCC6812_soi_CARN0">0</definedName>
    <definedName name="CCC6812_soi_CARN1">0</definedName>
    <definedName name="CCC6812_soi_DM1N0">0</definedName>
    <definedName name="CCC6815_dep_BEXN0">0</definedName>
    <definedName name="CCC6815_dep_CAPN0">0</definedName>
    <definedName name="CCC6815_dep_CARN0">0</definedName>
    <definedName name="CCC6815_dep_CARN1">0</definedName>
    <definedName name="CCC6815_dep_DM1N0">0</definedName>
    <definedName name="CCC6815_soi_BEXN0">0</definedName>
    <definedName name="CCC6815_soi_CAPN0">0</definedName>
    <definedName name="CCC6815_soi_CARN0">0</definedName>
    <definedName name="CCC6815_soi_CARN1">0</definedName>
    <definedName name="CCC6815_soi_DM1N0">0</definedName>
    <definedName name="CCC681518_soi_BEXN0">0</definedName>
    <definedName name="CCC681518_soi_CAPN0">0</definedName>
    <definedName name="CCC681518_soi_CARN0">0</definedName>
    <definedName name="CCC681518_soi_CARN1">0</definedName>
    <definedName name="CCC681518_soi_DM1N0">0</definedName>
    <definedName name="CCC681518MSNN0">0</definedName>
    <definedName name="CCC6816_dep_BEXN0">0</definedName>
    <definedName name="CCC6816_dep_CAPN0">0</definedName>
    <definedName name="CCC6816_dep_CARN0">0</definedName>
    <definedName name="CCC6816_dep_CARN1">0</definedName>
    <definedName name="CCC6816_dep_DM1N0">0</definedName>
    <definedName name="CCC6816_soi_BEXN0">0</definedName>
    <definedName name="CCC6816_soi_CAPN0">0</definedName>
    <definedName name="CCC6816_soi_CARN0">0</definedName>
    <definedName name="CCC6816_soi_CARN1">0</definedName>
    <definedName name="CCC6816_soi_DM1N0">0</definedName>
    <definedName name="CCC6817_dep_BEXN0">0</definedName>
    <definedName name="CCC6817_dep_CAPN0">0</definedName>
    <definedName name="CCC6817_dep_CARN0">0</definedName>
    <definedName name="CCC6817_dep_CARN1">0</definedName>
    <definedName name="CCC6817_dep_DM1N0">0</definedName>
    <definedName name="CCC6817_soi_BEXN0">0</definedName>
    <definedName name="CCC6817_soi_CAPN0">0</definedName>
    <definedName name="CCC6817_soi_CARN0">0</definedName>
    <definedName name="CCC6817_soi_CARN1">0</definedName>
    <definedName name="CCC6817_soi_DM1N0">0</definedName>
    <definedName name="CCC686_dep_BEXN0">0</definedName>
    <definedName name="CCC686_dep_CAPN0">0</definedName>
    <definedName name="CCC686_dep_CARN0">0</definedName>
    <definedName name="CCC686_dep_CARN1">0</definedName>
    <definedName name="CCC686_dep_DM1N0">0</definedName>
    <definedName name="CCC686_soi_BEXN0">0</definedName>
    <definedName name="CCC686_soi_CAPN0">0</definedName>
    <definedName name="CCC686_soi_CARN0">0</definedName>
    <definedName name="CCC686_soi_CARN1">0</definedName>
    <definedName name="CCC686_soi_DM1N0">0</definedName>
    <definedName name="CCC687_dep_BEXN0">0</definedName>
    <definedName name="CCC687_dep_CAPN0">0</definedName>
    <definedName name="CCC687_dep_CARN0">0</definedName>
    <definedName name="CCC687_dep_CARN1">0</definedName>
    <definedName name="CCC687_dep_DM1N0">0</definedName>
    <definedName name="CCC687_soi_BEXN0">0</definedName>
    <definedName name="CCC687_soi_CAPN0">0</definedName>
    <definedName name="CCC687_soi_CARN0">0</definedName>
    <definedName name="CCC687_soi_CARN1">0</definedName>
    <definedName name="CCC687_soi_DM1N0">0</definedName>
    <definedName name="CCC6871_dep_BEXN0">0</definedName>
    <definedName name="CCC6871_dep_CAPN0">0</definedName>
    <definedName name="CCC6871_dep_CARN0">0</definedName>
    <definedName name="CCC6871_dep_CARN1">0</definedName>
    <definedName name="CCC6871_dep_DM1N0">0</definedName>
    <definedName name="CCC6871_soi_BEXN0">0</definedName>
    <definedName name="CCC6871_soi_CAPN0">0</definedName>
    <definedName name="CCC6871_soi_CARN0">0</definedName>
    <definedName name="CCC6871_soi_CARN1">0</definedName>
    <definedName name="CCC6871_soi_DM1N0">0</definedName>
    <definedName name="CCC6872_dep_BEXN0">0</definedName>
    <definedName name="CCC6872_dep_CAPN0">0</definedName>
    <definedName name="CCC6872_dep_CARN0">0</definedName>
    <definedName name="CCC6872_dep_CARN1">0</definedName>
    <definedName name="CCC6872_dep_DM1N0">0</definedName>
    <definedName name="CCC6872_soi_BEXN0">0</definedName>
    <definedName name="CCC6872_soi_CAPN0">0</definedName>
    <definedName name="CCC6872_soi_CARN0">0</definedName>
    <definedName name="CCC6872_soi_CARN1">0</definedName>
    <definedName name="CCC6872_soi_DM1N0">0</definedName>
    <definedName name="CCC68725_dep_BEXN0">0</definedName>
    <definedName name="CCC68725_dep_CAPN0">0</definedName>
    <definedName name="CCC68725_dep_CARN0">0</definedName>
    <definedName name="CCC68725_dep_CARN1">0</definedName>
    <definedName name="CCC68725_dep_DM1N0">0</definedName>
    <definedName name="CCC68725_soi_BEXN0">0</definedName>
    <definedName name="CCC68725_soi_CAPN0">0</definedName>
    <definedName name="CCC68725_soi_CARN0">0</definedName>
    <definedName name="CCC68725_soi_CARN1">0</definedName>
    <definedName name="CCC68725_soi_DM1N0">0</definedName>
    <definedName name="CCC6874_dep_BEXN0">0</definedName>
    <definedName name="CCC6874_dep_CAPN0">0</definedName>
    <definedName name="CCC6874_dep_CARN0">0</definedName>
    <definedName name="CCC6874_dep_CARN1">0</definedName>
    <definedName name="CCC6874_dep_DM1N0">0</definedName>
    <definedName name="CCC6874_soi_BEXN0">0</definedName>
    <definedName name="CCC6874_soi_CAPN0">0</definedName>
    <definedName name="CCC6874_soi_CARN0">0</definedName>
    <definedName name="CCC6874_soi_CARN1">0</definedName>
    <definedName name="CCC6874_soi_DM1N0">0</definedName>
    <definedName name="CCC68741_dep_BEXN0">0</definedName>
    <definedName name="CCC68741_dep_CAPN0">0</definedName>
    <definedName name="CCC68741_dep_CARN0">0</definedName>
    <definedName name="CCC68741_dep_CARN1">0</definedName>
    <definedName name="CCC68741_dep_DM1N0">0</definedName>
    <definedName name="CCC68741_soi_BEXN0">0</definedName>
    <definedName name="CCC68741_soi_CAPN0">0</definedName>
    <definedName name="CCC68741_soi_CARN0">0</definedName>
    <definedName name="CCC68741_soi_CARN1">0</definedName>
    <definedName name="CCC68741_soi_DM1N0">0</definedName>
    <definedName name="CCC68742_dep_BEXN0">0</definedName>
    <definedName name="CCC68742_dep_CAPN0">0</definedName>
    <definedName name="CCC68742_dep_CARN0">0</definedName>
    <definedName name="CCC68742_dep_CARN1">0</definedName>
    <definedName name="CCC68742_dep_DM1N0">0</definedName>
    <definedName name="CCC68742_soi_BEXN0">0</definedName>
    <definedName name="CCC68742_soi_CAPN0">0</definedName>
    <definedName name="CCC68742_soi_CARN0">0</definedName>
    <definedName name="CCC68742_soi_CARN1">0</definedName>
    <definedName name="CCC68742_soi_DM1N0">0</definedName>
    <definedName name="CCC68746_dep_BEXN0">0</definedName>
    <definedName name="CCC68746_dep_CAPN0">0</definedName>
    <definedName name="CCC68746_dep_CARN0">0</definedName>
    <definedName name="CCC68746_dep_CARN1">0</definedName>
    <definedName name="CCC68746_dep_DM1N0">0</definedName>
    <definedName name="CCC68746_soi_BEXN0">0</definedName>
    <definedName name="CCC68746_soi_CAPN0">0</definedName>
    <definedName name="CCC68746_soi_CARN0">0</definedName>
    <definedName name="CCC68746_soi_CARN1">0</definedName>
    <definedName name="CCC68746_soi_DM1N0">0</definedName>
    <definedName name="CCC687461_dep_BEXN0">0</definedName>
    <definedName name="CCC687461_dep_CAPN0">0</definedName>
    <definedName name="CCC687461_dep_CARN0">0</definedName>
    <definedName name="CCC687461_dep_CARN1">0</definedName>
    <definedName name="CCC687461_dep_DM1N0">0</definedName>
    <definedName name="CCC687461_soi_BEXN0">0</definedName>
    <definedName name="CCC687461_soi_CAPN0">0</definedName>
    <definedName name="CCC687461_soi_CARN0">0</definedName>
    <definedName name="CCC687461_soi_CARN1">0</definedName>
    <definedName name="CCC687461_soi_DM1N0">0</definedName>
    <definedName name="CCC687462_dep_BEXN0">0</definedName>
    <definedName name="CCC687462_dep_CAPN0">0</definedName>
    <definedName name="CCC687462_dep_CARN0">0</definedName>
    <definedName name="CCC687462_dep_CARN1">0</definedName>
    <definedName name="CCC687462_dep_DM1N0">0</definedName>
    <definedName name="CCC687462_soi_BEXN0">0</definedName>
    <definedName name="CCC687462_soi_CAPN0">0</definedName>
    <definedName name="CCC687462_soi_CARN0">0</definedName>
    <definedName name="CCC687462_soi_CARN1">0</definedName>
    <definedName name="CCC687462_soi_DM1N0">0</definedName>
    <definedName name="CCC68748_dep_BEXN0">0</definedName>
    <definedName name="CCC68748_dep_CAPN0">0</definedName>
    <definedName name="CCC68748_dep_CARN0">0</definedName>
    <definedName name="CCC68748_dep_CARN1">0</definedName>
    <definedName name="CCC68748_dep_DM1N0">0</definedName>
    <definedName name="CCC68748_soi_BEXN0">0</definedName>
    <definedName name="CCC68748_soi_CAPN0">0</definedName>
    <definedName name="CCC68748_soi_CARN0">0</definedName>
    <definedName name="CCC68748_soi_CARN1">0</definedName>
    <definedName name="CCC68748_soi_DM1N0">0</definedName>
    <definedName name="CCC6876_dep_BEXN0">0</definedName>
    <definedName name="CCC6876_dep_CAPN0">0</definedName>
    <definedName name="CCC6876_dep_CARN0">0</definedName>
    <definedName name="CCC6876_dep_CARN1">0</definedName>
    <definedName name="CCC6876_dep_DM1N0">0</definedName>
    <definedName name="CCC6876_soi_BEXN0">0</definedName>
    <definedName name="CCC6876_soi_CAPN0">0</definedName>
    <definedName name="CCC6876_soi_CARN0">0</definedName>
    <definedName name="CCC6876_soi_CARN1">0</definedName>
    <definedName name="CCC6876_soi_DM1N0">0</definedName>
    <definedName name="CCC689_dep_BEXN0">0</definedName>
    <definedName name="CCC689_dep_CAPN0">0</definedName>
    <definedName name="CCC689_dep_CARN0">0</definedName>
    <definedName name="CCC689_dep_CARN1">0</definedName>
    <definedName name="CCC689_dep_DM1N0">0</definedName>
    <definedName name="CCC689_soi_BEXN0">0</definedName>
    <definedName name="CCC689_soi_CAPN0">0</definedName>
    <definedName name="CCC689_soi_CARN0">0</definedName>
    <definedName name="CCC689_soi_CARN1">0</definedName>
    <definedName name="CCC689_soi_DM1N0">0</definedName>
    <definedName name="CCC6894_dep_BEXN0">0</definedName>
    <definedName name="CCC6894_dep_CAPN0">0</definedName>
    <definedName name="CCC6894_dep_CARN0">0</definedName>
    <definedName name="CCC6894_dep_CARN1">0</definedName>
    <definedName name="CCC6894_dep_DM1N0">0</definedName>
    <definedName name="CCC6894_soi_BEXN0">0</definedName>
    <definedName name="CCC6894_soi_CAPN0">0</definedName>
    <definedName name="CCC6894_soi_CARN0">0</definedName>
    <definedName name="CCC6894_soi_CARN1">0</definedName>
    <definedName name="CCC6894_soi_DM1N0">0</definedName>
    <definedName name="CCC6895_dep_BEXN0">0</definedName>
    <definedName name="CCC6895_dep_CAPN0">0</definedName>
    <definedName name="CCC6895_dep_CARN0">0</definedName>
    <definedName name="CCC6895_dep_CARN1">0</definedName>
    <definedName name="CCC6895_dep_DM1N0">0</definedName>
    <definedName name="CCC6895_soi_BEXN0">0</definedName>
    <definedName name="CCC6895_soi_CAPN0">0</definedName>
    <definedName name="CCC6895_soi_CARN0">0</definedName>
    <definedName name="CCC6895_soi_CARN1">0</definedName>
    <definedName name="CCC6895_soi_DM1N0">0</definedName>
    <definedName name="CCC6897_dep_BEXN0">0</definedName>
    <definedName name="CCC6897_dep_CAPN0">0</definedName>
    <definedName name="CCC6897_dep_CARN0">0</definedName>
    <definedName name="CCC6897_dep_CARN1">0</definedName>
    <definedName name="CCC6897_dep_DM1N0">0</definedName>
    <definedName name="CCC6897_soi_BEXN0">0</definedName>
    <definedName name="CCC6897_soi_CAPN0">0</definedName>
    <definedName name="CCC6897_soi_CARN0">0</definedName>
    <definedName name="CCC6897_soi_CARN1">0</definedName>
    <definedName name="CCC6897_soi_DM1N0">0</definedName>
    <definedName name="CCC70_dep_BEXN0">0</definedName>
    <definedName name="CCC70_dep_CAPN0">0</definedName>
    <definedName name="CCC70_dep_CARN0">0</definedName>
    <definedName name="CCC70_dep_CARN1">0</definedName>
    <definedName name="CCC70_dep_DM1N0">0</definedName>
    <definedName name="CCC70_soi_BEXN0">0</definedName>
    <definedName name="CCC70_soi_CAPN0">0</definedName>
    <definedName name="CCC70_soi_CARN0">0</definedName>
    <definedName name="CCC70_soi_CARN1">0</definedName>
    <definedName name="CCC70_soi_DM1N0">0</definedName>
    <definedName name="CCC7082_dep_BEXN0">0</definedName>
    <definedName name="CCC7082_dep_CAPN0">0</definedName>
    <definedName name="CCC7082_dep_CARN0">0</definedName>
    <definedName name="CCC7082_dep_CARN1">0</definedName>
    <definedName name="CCC7082_dep_DM1N0">0</definedName>
    <definedName name="CCC7082_soi_BEXN0">0</definedName>
    <definedName name="CCC7082_soi_CAPN0">0</definedName>
    <definedName name="CCC7082_soi_CARN0">0</definedName>
    <definedName name="CCC7082_soi_CARN1">0</definedName>
    <definedName name="CCC7082_soi_DM1N0">0</definedName>
    <definedName name="CCC70821_dep_BEXN0">0</definedName>
    <definedName name="CCC70821_dep_CAPN0">0</definedName>
    <definedName name="CCC70821_dep_CARN0">0</definedName>
    <definedName name="CCC70821_dep_CARN1">0</definedName>
    <definedName name="CCC70821_dep_DM1N0">0</definedName>
    <definedName name="CCC70821_soi_BEXN0">0</definedName>
    <definedName name="CCC70821_soi_CAPN0">0</definedName>
    <definedName name="CCC70821_soi_CARN0">0</definedName>
    <definedName name="CCC70821_soi_CARN1">0</definedName>
    <definedName name="CCC70821_soi_DM1N0">0</definedName>
    <definedName name="CCC70822_dep_BEXN0">0</definedName>
    <definedName name="CCC70822_dep_CAPN0">0</definedName>
    <definedName name="CCC70822_dep_CARN0">0</definedName>
    <definedName name="CCC70822_dep_CARN1">0</definedName>
    <definedName name="CCC70822_dep_DM1N0">0</definedName>
    <definedName name="CCC70822_soi_BEXN0">0</definedName>
    <definedName name="CCC70822_soi_CAPN0">0</definedName>
    <definedName name="CCC70822_soi_CARN0">0</definedName>
    <definedName name="CCC70822_soi_CARN1">0</definedName>
    <definedName name="CCC70822_soi_DM1N0">0</definedName>
    <definedName name="CCC70823_dep_BEXN0">0</definedName>
    <definedName name="CCC70823_dep_CAPN0">0</definedName>
    <definedName name="CCC70823_dep_CARN0">0</definedName>
    <definedName name="CCC70823_dep_CARN1">0</definedName>
    <definedName name="CCC70823_dep_DM1N0">0</definedName>
    <definedName name="CCC70823_soi_BEXN0">0</definedName>
    <definedName name="CCC70823_soi_CAPN0">0</definedName>
    <definedName name="CCC70823_soi_CARN0">0</definedName>
    <definedName name="CCC70823_soi_CARN1">0</definedName>
    <definedName name="CCC70823_soi_DM1N0">0</definedName>
    <definedName name="CCC70828_dep_BEXN0">0</definedName>
    <definedName name="CCC70828_dep_CAPN0">0</definedName>
    <definedName name="CCC70828_dep_CARN0">0</definedName>
    <definedName name="CCC70828_dep_CARN1">0</definedName>
    <definedName name="CCC70828_dep_DM1N0">0</definedName>
    <definedName name="CCC70828_soi_BEXN0">0</definedName>
    <definedName name="CCC70828_soi_CAPN0">0</definedName>
    <definedName name="CCC70828_soi_CARN0">0</definedName>
    <definedName name="CCC70828_soi_CARN1">0</definedName>
    <definedName name="CCC70828_soi_DM1N0">0</definedName>
    <definedName name="CCC71_dep_BEXN0">0</definedName>
    <definedName name="CCC71_dep_CAPN0">0</definedName>
    <definedName name="CCC71_dep_CARN0">0</definedName>
    <definedName name="CCC71_dep_CARN1">0</definedName>
    <definedName name="CCC71_dep_DM1N0">0</definedName>
    <definedName name="CCC71_soi_BEXN0">0</definedName>
    <definedName name="CCC71_soi_CAPN0">0</definedName>
    <definedName name="CCC71_soi_CARN0">0</definedName>
    <definedName name="CCC71_soi_CARN1">0</definedName>
    <definedName name="CCC71_soi_DM1N0">0</definedName>
    <definedName name="CCC72_dep_BEXN0">0</definedName>
    <definedName name="CCC72_dep_CAPN0">0</definedName>
    <definedName name="CCC72_dep_CARN0">0</definedName>
    <definedName name="CCC72_dep_CARN1">0</definedName>
    <definedName name="CCC72_dep_DM1N0">0</definedName>
    <definedName name="CCC72_soi_BEXN0">0</definedName>
    <definedName name="CCC72_soi_CAPN0">0</definedName>
    <definedName name="CCC72_soi_CARN0">0</definedName>
    <definedName name="CCC72_soi_CARN1">0</definedName>
    <definedName name="CCC72_soi_DM1N0">0</definedName>
    <definedName name="CCC7311_soi_BEXN0">0</definedName>
    <definedName name="CCC7311_soi_CAPN0">0</definedName>
    <definedName name="CCC7311_soi_CARN0">0</definedName>
    <definedName name="CCC7311_soi_CARN1">0</definedName>
    <definedName name="CCC7311_soi_DM1N0">0</definedName>
    <definedName name="CCC7312_heb_BEXN0">0</definedName>
    <definedName name="CCC7312_heb_CAPN0">0</definedName>
    <definedName name="CCC7312_heb_CARN0">0</definedName>
    <definedName name="CCC7312_heb_CARN1">0</definedName>
    <definedName name="CCC7312_heb_DM1N0">0</definedName>
    <definedName name="CCC7315_soi_BEXN0">0</definedName>
    <definedName name="CCC7315_soi_CAPN0">0</definedName>
    <definedName name="CCC7315_soi_CARN0">0</definedName>
    <definedName name="CCC7315_soi_CARN1">0</definedName>
    <definedName name="CCC7315_soi_DM1N0">0</definedName>
    <definedName name="CCC7317_heb_BEXN0">0</definedName>
    <definedName name="CCC7317_heb_CAPN0">0</definedName>
    <definedName name="CCC7317_heb_CARN0">0</definedName>
    <definedName name="CCC7317_heb_CARN1">0</definedName>
    <definedName name="CCC7317_heb_DM1N0">0</definedName>
    <definedName name="CCC732_dep_BEXN0">0</definedName>
    <definedName name="CCC732_dep_CAPN0">0</definedName>
    <definedName name="CCC732_dep_CARN0">0</definedName>
    <definedName name="CCC732_dep_CARN1">0</definedName>
    <definedName name="CCC732_dep_DM1N0">0</definedName>
    <definedName name="CCC732_soi_BEXN0">0</definedName>
    <definedName name="CCC732_soi_CAPN0">0</definedName>
    <definedName name="CCC732_soi_CARN0">0</definedName>
    <definedName name="CCC732_soi_CARN1">0</definedName>
    <definedName name="CCC732_soi_DM1N0">0</definedName>
    <definedName name="CCC7343_dep_BEXN0">0</definedName>
    <definedName name="CCC7343_dep_CAPN0">0</definedName>
    <definedName name="CCC7343_dep_CARN0">0</definedName>
    <definedName name="CCC7343_dep_CARN1">0</definedName>
    <definedName name="CCC7343_dep_DM1N0">0</definedName>
    <definedName name="CCC737_dep_BEXN0">0</definedName>
    <definedName name="CCC737_dep_CAPN0">0</definedName>
    <definedName name="CCC737_dep_CARN0">0</definedName>
    <definedName name="CCC737_dep_CARN1">0</definedName>
    <definedName name="CCC737_dep_DM1N0">0</definedName>
    <definedName name="CCC74_dep_BEXN0">0</definedName>
    <definedName name="CCC74_dep_CAPN0">0</definedName>
    <definedName name="CCC74_dep_CARN0">0</definedName>
    <definedName name="CCC74_dep_CARN1">0</definedName>
    <definedName name="CCC74_dep_DM1N0">0</definedName>
    <definedName name="CCC74_soi_BEXN0">0</definedName>
    <definedName name="CCC74_soi_CAPN0">0</definedName>
    <definedName name="CCC74_soi_CARN0">0</definedName>
    <definedName name="CCC74_soi_CARN1">0</definedName>
    <definedName name="CCC74_soi_DM1N0">0</definedName>
    <definedName name="CCC75_dep_BEXN0">0</definedName>
    <definedName name="CCC75_dep_CAPN0">0</definedName>
    <definedName name="CCC75_dep_CARN0">0</definedName>
    <definedName name="CCC75_dep_CARN1">0</definedName>
    <definedName name="CCC75_dep_DM1N0">0</definedName>
    <definedName name="CCC75_soi_BEXN0">0</definedName>
    <definedName name="CCC75_soi_CAPN0">0</definedName>
    <definedName name="CCC75_soi_CARN0">0</definedName>
    <definedName name="CCC75_soi_CARN1">0</definedName>
    <definedName name="CCC75_soi_DM1N0">0</definedName>
    <definedName name="CCC76_dep_BEXN0">0</definedName>
    <definedName name="CCC76_dep_CAPN0">0</definedName>
    <definedName name="CCC76_dep_CARN0">0</definedName>
    <definedName name="CCC76_dep_CARN1">0</definedName>
    <definedName name="CCC76_dep_DM1N0">0</definedName>
    <definedName name="CCC76_soi_BEXN0">0</definedName>
    <definedName name="CCC76_soi_CAPN0">0</definedName>
    <definedName name="CCC76_soi_CARN0">0</definedName>
    <definedName name="CCC76_soi_CARN1">0</definedName>
    <definedName name="CCC76_soi_DM1N0">0</definedName>
    <definedName name="CCC770_dep_BEXN0">0</definedName>
    <definedName name="CCC770_dep_CAPN0">0</definedName>
    <definedName name="CCC770_dep_CARN0">0</definedName>
    <definedName name="CCC770_dep_CARN1">0</definedName>
    <definedName name="CCC770_dep_DM1N0">0</definedName>
    <definedName name="CCC770_soi_BEXN0">0</definedName>
    <definedName name="CCC770_soi_CAPN0">0</definedName>
    <definedName name="CCC770_soi_CARN0">0</definedName>
    <definedName name="CCC770_soi_CARN1">0</definedName>
    <definedName name="CCC770_soi_DM1N0">0</definedName>
    <definedName name="CCC771_dep_BEXN0">0</definedName>
    <definedName name="CCC771_dep_CAPN0">0</definedName>
    <definedName name="CCC771_dep_CARN0">0</definedName>
    <definedName name="CCC771_dep_CARN1">0</definedName>
    <definedName name="CCC771_dep_DM1N0">0</definedName>
    <definedName name="CCC771_soi_BEXN0">0</definedName>
    <definedName name="CCC771_soi_CAPN0">0</definedName>
    <definedName name="CCC771_soi_CARN0">0</definedName>
    <definedName name="CCC771_soi_CARN1">0</definedName>
    <definedName name="CCC771_soi_DM1N0">0</definedName>
    <definedName name="CCC773_dep_BEXN0">0</definedName>
    <definedName name="CCC773_dep_CAPN0">0</definedName>
    <definedName name="CCC773_dep_CARN0">0</definedName>
    <definedName name="CCC773_dep_CARN1">0</definedName>
    <definedName name="CCC773_dep_DM1N0">0</definedName>
    <definedName name="CCC773_soi_BEXN0">0</definedName>
    <definedName name="CCC773_soi_CAPN0">0</definedName>
    <definedName name="CCC773_soi_CARN0">0</definedName>
    <definedName name="CCC773_soi_CARN1">0</definedName>
    <definedName name="CCC773_soi_DM1N0">0</definedName>
    <definedName name="CCC775_dep_BEXN0">0</definedName>
    <definedName name="CCC775_dep_CAPN0">0</definedName>
    <definedName name="CCC775_dep_CARN0">0</definedName>
    <definedName name="CCC775_dep_CARN1">0</definedName>
    <definedName name="CCC775_dep_DM1N0">0</definedName>
    <definedName name="CCC775_soi_BEXN0">0</definedName>
    <definedName name="CCC775_soi_CAPN0">0</definedName>
    <definedName name="CCC775_soi_CARN0">0</definedName>
    <definedName name="CCC775_soi_CARN1">0</definedName>
    <definedName name="CCC775_soi_DM1N0">0</definedName>
    <definedName name="CCC777_dep_BEXN0">0</definedName>
    <definedName name="CCC777_dep_CAPN0">0</definedName>
    <definedName name="CCC777_dep_CARN0">0</definedName>
    <definedName name="CCC777_dep_CARN1">0</definedName>
    <definedName name="CCC777_dep_DM1N0">0</definedName>
    <definedName name="CCC777_soi_BEXN0">0</definedName>
    <definedName name="CCC777_soi_CAPN0">0</definedName>
    <definedName name="CCC777_soi_CARN0">0</definedName>
    <definedName name="CCC777_soi_CARN1">0</definedName>
    <definedName name="CCC777_soi_DM1N0">0</definedName>
    <definedName name="CCC778_dep_BEXN0">0</definedName>
    <definedName name="CCC778_dep_CAPN0">0</definedName>
    <definedName name="CCC778_dep_CARN0">0</definedName>
    <definedName name="CCC778_dep_CARN1">0</definedName>
    <definedName name="CCC778_dep_DM1N0">0</definedName>
    <definedName name="CCC778_soi_BEXN0">0</definedName>
    <definedName name="CCC778_soi_CAPN0">0</definedName>
    <definedName name="CCC778_soi_CARN0">0</definedName>
    <definedName name="CCC778_soi_CARN1">0</definedName>
    <definedName name="CCC778_soi_DM1N0">0</definedName>
    <definedName name="CCC78_dep_BEXN0">0</definedName>
    <definedName name="CCC78_dep_CAPN0">0</definedName>
    <definedName name="CCC78_dep_CARN0">0</definedName>
    <definedName name="CCC78_dep_CARN1">0</definedName>
    <definedName name="CCC78_dep_DM1N0">0</definedName>
    <definedName name="CCC78_soi_BEXN0">0</definedName>
    <definedName name="CCC78_soi_CAPN0">0</definedName>
    <definedName name="CCC78_soi_CARN0">0</definedName>
    <definedName name="CCC78_soi_CARN1">0</definedName>
    <definedName name="CCC78_soi_DM1N0">0</definedName>
    <definedName name="CCC78725_dep_BEXN0">0</definedName>
    <definedName name="CCC78725_dep_CAPN0">0</definedName>
    <definedName name="CCC78725_dep_CARN0">0</definedName>
    <definedName name="CCC78725_dep_CARN1">0</definedName>
    <definedName name="CCC78725_dep_DM1N0">0</definedName>
    <definedName name="CCC78725_soi_BEXN0">0</definedName>
    <definedName name="CCC78725_soi_CAPN0">0</definedName>
    <definedName name="CCC78725_soi_CARN0">0</definedName>
    <definedName name="CCC78725_soi_CARN1">0</definedName>
    <definedName name="CCC78725_soi_DM1N0">0</definedName>
    <definedName name="CCC78741_dep_BEXN0">0</definedName>
    <definedName name="CCC78741_dep_CAPN0">0</definedName>
    <definedName name="CCC78741_dep_CARN0">0</definedName>
    <definedName name="CCC78741_dep_CARN1">0</definedName>
    <definedName name="CCC78741_dep_DM1N0">0</definedName>
    <definedName name="CCC78741_soi_BEXN0">0</definedName>
    <definedName name="CCC78741_soi_CAPN0">0</definedName>
    <definedName name="CCC78741_soi_CARN0">0</definedName>
    <definedName name="CCC78741_soi_CARN1">0</definedName>
    <definedName name="CCC78741_soi_DM1N0">0</definedName>
    <definedName name="CCC78742_dep_BEXN0">0</definedName>
    <definedName name="CCC78742_dep_CAPN0">0</definedName>
    <definedName name="CCC78742_dep_CARN0">0</definedName>
    <definedName name="CCC78742_dep_CARN1">0</definedName>
    <definedName name="CCC78742_dep_DM1N0">0</definedName>
    <definedName name="CCC78742_soi_BEXN0">0</definedName>
    <definedName name="CCC78742_soi_CAPN0">0</definedName>
    <definedName name="CCC78742_soi_CARN0">0</definedName>
    <definedName name="CCC78742_soi_CARN1">0</definedName>
    <definedName name="CCC78742_soi_DM1N0">0</definedName>
    <definedName name="CCC78746_dep_BEXN0">0</definedName>
    <definedName name="CCC78746_dep_CAPN0">0</definedName>
    <definedName name="CCC78746_dep_CARN0">0</definedName>
    <definedName name="CCC78746_dep_CARN1">0</definedName>
    <definedName name="CCC78746_dep_DM1N0">0</definedName>
    <definedName name="CCC78746_soi_BEXN0">0</definedName>
    <definedName name="CCC78746_soi_CAPN0">0</definedName>
    <definedName name="CCC78746_soi_CARN0">0</definedName>
    <definedName name="CCC78746_soi_CARN1">0</definedName>
    <definedName name="CCC78746_soi_DM1N0">0</definedName>
    <definedName name="CCC789_dep_BEXN0">0</definedName>
    <definedName name="CCC789_dep_CAPN0">0</definedName>
    <definedName name="CCC789_dep_CARN0">0</definedName>
    <definedName name="CCC789_dep_CARN1">0</definedName>
    <definedName name="CCC789_dep_DM1N0">0</definedName>
    <definedName name="CCC789_soi_BEXN0">0</definedName>
    <definedName name="CCC789_soi_CAPN0">0</definedName>
    <definedName name="CCC789_soi_CARN0">0</definedName>
    <definedName name="CCC789_soi_CARN1">0</definedName>
    <definedName name="CCC789_soi_DM1N0">0</definedName>
    <definedName name="CCC79_dep_BEXN0">0</definedName>
    <definedName name="CCC79_dep_CAPN0">0</definedName>
    <definedName name="CCC79_dep_CARN0">0</definedName>
    <definedName name="CCC79_dep_CARN1">0</definedName>
    <definedName name="CCC79_dep_DM1N0">0</definedName>
    <definedName name="CCC79_soi_BEXN0">0</definedName>
    <definedName name="CCC79_soi_CAPN0">0</definedName>
    <definedName name="CCC79_soi_CARN0">0</definedName>
    <definedName name="CCC79_soi_CARN1">0</definedName>
    <definedName name="CCC79_soi_DM1N0">0</definedName>
    <definedName name="CCCR280AN_Simulatio">0</definedName>
    <definedName name="CCCR280AN_Simulatio_1">0</definedName>
    <definedName name="CCCR280AN_Simulatio_2">0</definedName>
    <definedName name="CCCR280AN_Simulatio_3">0</definedName>
    <definedName name="CCCR280AN_Simulatio_4">0</definedName>
    <definedName name="CCCR48100_Simulatio">0</definedName>
    <definedName name="CCCR48100_Simulatio_1">0</definedName>
    <definedName name="CCCR48100_Simulatio_2">0</definedName>
    <definedName name="CCCR48100_Simulatio_3">0</definedName>
    <definedName name="CCCR48100_Simulatio_4">0</definedName>
    <definedName name="CDateDebut">" "</definedName>
    <definedName name="CDateDebut_MN">" "</definedName>
    <definedName name="CDurée">0</definedName>
    <definedName name="CDurée_MN">0</definedName>
    <definedName name="CE10000_BE1">0</definedName>
    <definedName name="CE10000_BP0">0</definedName>
    <definedName name="CE10000_Budgetexé">0</definedName>
    <definedName name="CE10000_CA2">0</definedName>
    <definedName name="CE10200_Budgetexé">0</definedName>
    <definedName name="CE10230_Budgetexé">0</definedName>
    <definedName name="CE10600_Budgetexé">0</definedName>
    <definedName name="CE10686_Budgetexé">0</definedName>
    <definedName name="CE13900_BE1">0</definedName>
    <definedName name="CE13900_BP0">0</definedName>
    <definedName name="CE13900_Budgetexé">0</definedName>
    <definedName name="CE13900_CA2">0</definedName>
    <definedName name="CE14000_BE1">0</definedName>
    <definedName name="CE14000_BP0">0</definedName>
    <definedName name="CE14000_Budgetexé">0</definedName>
    <definedName name="CE14000_CA2">0</definedName>
    <definedName name="CE14800_Budgetexé">0</definedName>
    <definedName name="CE14861_Budgetexé">0</definedName>
    <definedName name="CE14862_Budgetexé">0</definedName>
    <definedName name="CE15000_BE1">0</definedName>
    <definedName name="CE15000_BP0">0</definedName>
    <definedName name="CE15000_Budgetexé">0</definedName>
    <definedName name="CE15000_CA2">0</definedName>
    <definedName name="CE15100_Budgetexé">0</definedName>
    <definedName name="CE15700_Budgetexé">0</definedName>
    <definedName name="CE15800_Budgetexé">0</definedName>
    <definedName name="CE16000_BE1">0</definedName>
    <definedName name="CE16000_BP0">0</definedName>
    <definedName name="CE16000_Budgetexé">0</definedName>
    <definedName name="CE16000_CA2">0</definedName>
    <definedName name="CE16300_Budgetexé">0</definedName>
    <definedName name="CE16400_Budgetexé">0</definedName>
    <definedName name="CE16500_Budgetexé">0</definedName>
    <definedName name="CE16700_Budgetexé">0</definedName>
    <definedName name="CE16800_Budgetexé">0</definedName>
    <definedName name="CE16900_Budgetexé">0</definedName>
    <definedName name="CE17000_BE1">0</definedName>
    <definedName name="CE17000_BP0">0</definedName>
    <definedName name="CE17000_CA2">0</definedName>
    <definedName name="CE18000_BE1">0</definedName>
    <definedName name="CE18000_BP0">0</definedName>
    <definedName name="CE18000_Budgetexé">0</definedName>
    <definedName name="CE18000_CA2">0</definedName>
    <definedName name="CE20000_BE1">0</definedName>
    <definedName name="CE20000_BP0">0</definedName>
    <definedName name="CE20000_Budgetexé">0</definedName>
    <definedName name="CE20000_CA2">0</definedName>
    <definedName name="CE20100_Budgetexé">0</definedName>
    <definedName name="CE20300_Budgetexé">0</definedName>
    <definedName name="CE20500_Budgetexé">0</definedName>
    <definedName name="CE20800_Budgetexé">0</definedName>
    <definedName name="CE21000_BE1">0</definedName>
    <definedName name="CE21000_BP0">0</definedName>
    <definedName name="CE21000_Budgetexé">0</definedName>
    <definedName name="CE21000_CA2">0</definedName>
    <definedName name="CE21100_Budgetexé">0</definedName>
    <definedName name="CE21200_Budgetexé">0</definedName>
    <definedName name="CE21300_Budgetexé">0</definedName>
    <definedName name="CE21400_Budgetexé">0</definedName>
    <definedName name="CE21500_Budgetexé">0</definedName>
    <definedName name="CE21600_Budgetexé">0</definedName>
    <definedName name="CE21810_Budgetexé">0</definedName>
    <definedName name="CE21820_Budgetexé">0</definedName>
    <definedName name="CE21830_Budgetexé">0</definedName>
    <definedName name="CE21840_Budgetexé">0</definedName>
    <definedName name="CE21850_Budgetexé">0</definedName>
    <definedName name="CE21880_Budgetexé">0</definedName>
    <definedName name="CE22000_BE1">0</definedName>
    <definedName name="CE22000_BP0">0</definedName>
    <definedName name="CE22000_Budgetexé">0</definedName>
    <definedName name="CE22000_CA2">0</definedName>
    <definedName name="CE23000_BE1">0</definedName>
    <definedName name="CE23000_BP0">0</definedName>
    <definedName name="CE23000_Budgetexé">0</definedName>
    <definedName name="CE23000_CA2">0</definedName>
    <definedName name="CE23120_Budgetexé">0</definedName>
    <definedName name="CE23130_Budgetexé">0</definedName>
    <definedName name="CE23140_Budgetexé">0</definedName>
    <definedName name="CE23150_Budgetexé">0</definedName>
    <definedName name="CE23180_Budgetexé">0</definedName>
    <definedName name="CE23800_Budgetexé">0</definedName>
    <definedName name="CE24000_BE1">0</definedName>
    <definedName name="CE24000_BP0">0</definedName>
    <definedName name="CE24000_Budgetexé">0</definedName>
    <definedName name="CE24000_CA2">0</definedName>
    <definedName name="CE26000_BE1">0</definedName>
    <definedName name="CE26000_BP0">0</definedName>
    <definedName name="CE26000_Budgetexé">0</definedName>
    <definedName name="CE26000_CA2">0</definedName>
    <definedName name="CE27000_BE1">0</definedName>
    <definedName name="CE27000_BP0">0</definedName>
    <definedName name="CE27000_Budgetexé">0</definedName>
    <definedName name="CE27000_CA2">0</definedName>
    <definedName name="CE27100_Budgetexé">0</definedName>
    <definedName name="CE27200_Budgetexé">0</definedName>
    <definedName name="CE27400_Budgetexé">0</definedName>
    <definedName name="CE27500_Budgetexé">0</definedName>
    <definedName name="CE27610_Budgetexé">0</definedName>
    <definedName name="CE27680_Budgetexé">0</definedName>
    <definedName name="CE28000_BE1">0</definedName>
    <definedName name="CE28000_BP0">0</definedName>
    <definedName name="CE28000_Budgetexé">0</definedName>
    <definedName name="CE28000_CA2">0</definedName>
    <definedName name="CE28110_Budgetexé">0</definedName>
    <definedName name="CE28120_Budgetexé">0</definedName>
    <definedName name="CE28130_Budgetexé">0</definedName>
    <definedName name="CE28140_Budgetexé">0</definedName>
    <definedName name="CE28150_Budgetexé">0</definedName>
    <definedName name="CE28180_Budgetexé">0</definedName>
    <definedName name="CE29000_BE1">0</definedName>
    <definedName name="CE29000_BP0">0</definedName>
    <definedName name="CE29000_Budgetexé">0</definedName>
    <definedName name="CE29000_CA2">0</definedName>
    <definedName name="CE29300_Budgetexé">0</definedName>
    <definedName name="CE29700_Budgetexé">0</definedName>
    <definedName name="CE39000_BE1">0</definedName>
    <definedName name="CE39000_BP0">0</definedName>
    <definedName name="CE39000_Budgetexé">0</definedName>
    <definedName name="CE39000_CA2">0</definedName>
    <definedName name="CE48100_BE1">0</definedName>
    <definedName name="CE48100_BP0">0</definedName>
    <definedName name="CE48100_Budgetexé">0</definedName>
    <definedName name="CE48100_CA2">0</definedName>
    <definedName name="CE49000_BE1">0</definedName>
    <definedName name="CE49000_BP0">0</definedName>
    <definedName name="CE49000_Budgetexé">0</definedName>
    <definedName name="CE49000_CA2">0</definedName>
    <definedName name="CE59000_BE1">0</definedName>
    <definedName name="CE59000_BP0">0</definedName>
    <definedName name="CE59000_Budgetexé">0</definedName>
    <definedName name="CE59000_CA2">0</definedName>
    <definedName name="CESn">0</definedName>
    <definedName name="CESnBExec">0</definedName>
    <definedName name="CG_NomCG">" "</definedName>
    <definedName name="CHNBEXN0">0</definedName>
    <definedName name="CHNBEXN1">0</definedName>
    <definedName name="CHNBPPN0">0</definedName>
    <definedName name="CHNBRN0">0</definedName>
    <definedName name="CHNCARN2">0</definedName>
    <definedName name="CHNMSNN0">0</definedName>
    <definedName name="CInteretDusAnneePrec">0</definedName>
    <definedName name="CInteretDusAnneePrec_MN">0</definedName>
    <definedName name="CIntVerseN">0</definedName>
    <definedName name="CIntVerseN_MN">0</definedName>
    <definedName name="CMontant">0</definedName>
    <definedName name="CMontant_MN">0</definedName>
    <definedName name="CNR1F603C">0</definedName>
    <definedName name="CNR1F603P">0</definedName>
    <definedName name="CNR1F609">0</definedName>
    <definedName name="CNR1F609P">0</definedName>
    <definedName name="CNR1F619">0</definedName>
    <definedName name="CNR1F619P">0</definedName>
    <definedName name="CNR1F629">0</definedName>
    <definedName name="CNR1F629P">0</definedName>
    <definedName name="CNR1F6419">0</definedName>
    <definedName name="CNR1F6419P">0</definedName>
    <definedName name="CNR1F6429">0</definedName>
    <definedName name="CNR1F6429P">0</definedName>
    <definedName name="CNR1F6489">0</definedName>
    <definedName name="CNR1F6489P">0</definedName>
    <definedName name="CNR1F6611C">0</definedName>
    <definedName name="CNR1F6611P">0</definedName>
    <definedName name="CNR1F70">0</definedName>
    <definedName name="CNR1F71">0</definedName>
    <definedName name="CNR1F72">0</definedName>
    <definedName name="CNR1F731">0</definedName>
    <definedName name="CNR1F732">0</definedName>
    <definedName name="CNR1F734">0</definedName>
    <definedName name="CNR1F736">0</definedName>
    <definedName name="CNR1F737">0</definedName>
    <definedName name="CNR1F74">0</definedName>
    <definedName name="CNR1F75">0</definedName>
    <definedName name="CNR1F76">0</definedName>
    <definedName name="CNR1F771">0</definedName>
    <definedName name="CNR1F773">0</definedName>
    <definedName name="CNR1F775">0</definedName>
    <definedName name="CNR1F777">0</definedName>
    <definedName name="CNR1F778">0</definedName>
    <definedName name="CNR1F78">0</definedName>
    <definedName name="CNR1F78725">0</definedName>
    <definedName name="CNR1F78741">0</definedName>
    <definedName name="CNR1F78742">0</definedName>
    <definedName name="CNR1F78746">0</definedName>
    <definedName name="CNR1F789">0</definedName>
    <definedName name="CNR1F79">0</definedName>
    <definedName name="CNR1NF601">0</definedName>
    <definedName name="CNR1NF602">0</definedName>
    <definedName name="CNR1NF603D">0</definedName>
    <definedName name="CNR1NF606">0</definedName>
    <definedName name="CNR1NF607">0</definedName>
    <definedName name="CNR1NF609D">0</definedName>
    <definedName name="CNR1NF610">0</definedName>
    <definedName name="CNR1NF6110">0</definedName>
    <definedName name="CNR1NF6111">0</definedName>
    <definedName name="CNR1NF6112">0</definedName>
    <definedName name="CNR1NF6118">0</definedName>
    <definedName name="CNR1NF612">0</definedName>
    <definedName name="CNR1NF6130">0</definedName>
    <definedName name="CNR1NF6132">0</definedName>
    <definedName name="CNR1NF6135">0</definedName>
    <definedName name="CNR1NF614">0</definedName>
    <definedName name="CNR1NF6150">0</definedName>
    <definedName name="CNR1NF6152">0</definedName>
    <definedName name="CNR1NF6155">0</definedName>
    <definedName name="CNR1NF6156">0</definedName>
    <definedName name="CNR1NF616">0</definedName>
    <definedName name="CNR1NF617">0</definedName>
    <definedName name="CNR1NF618">0</definedName>
    <definedName name="CNR1NF619D">0</definedName>
    <definedName name="CNR1NF621">0</definedName>
    <definedName name="CNR1NF622">0</definedName>
    <definedName name="CNR1NF623">0</definedName>
    <definedName name="CNR1NF6240">0</definedName>
    <definedName name="CNR1NF6241">0</definedName>
    <definedName name="CNR1NF6242">0</definedName>
    <definedName name="CNR1NF6247">0</definedName>
    <definedName name="CNR1NF6248">0</definedName>
    <definedName name="CNR1NF625">0</definedName>
    <definedName name="CNR1NF626">0</definedName>
    <definedName name="CNR1NF627">0</definedName>
    <definedName name="CNR1NF6280">0</definedName>
    <definedName name="CNR1NF6281">0</definedName>
    <definedName name="CNR1NF6282">0</definedName>
    <definedName name="CNR1NF6283">0</definedName>
    <definedName name="CNR1NF6284">0</definedName>
    <definedName name="CNR1NF6287">0</definedName>
    <definedName name="CNR1NF6288">0</definedName>
    <definedName name="CNR1NF6289">0</definedName>
    <definedName name="CNR1NF629">0</definedName>
    <definedName name="CNR1NF631">0</definedName>
    <definedName name="CNR1NF633">0</definedName>
    <definedName name="CNR1NF635">0</definedName>
    <definedName name="CNR1NF637">0</definedName>
    <definedName name="CNR1NF640">0</definedName>
    <definedName name="CNR1NF641">0</definedName>
    <definedName name="CNR1NF6419P">0</definedName>
    <definedName name="CNR1NF642">0</definedName>
    <definedName name="CNR1NF6429P">0</definedName>
    <definedName name="CNR1NF643">0</definedName>
    <definedName name="CNR1NF645">0</definedName>
    <definedName name="CNR1NF646">0</definedName>
    <definedName name="CNR1NF647">0</definedName>
    <definedName name="CNR1NF648">0</definedName>
    <definedName name="CNR1NF6489P">0</definedName>
    <definedName name="CNR1NF6499">0</definedName>
    <definedName name="CNR1NF650">0</definedName>
    <definedName name="CNR1NF651">0</definedName>
    <definedName name="CNR1NF654">0</definedName>
    <definedName name="CNR1NF655">0</definedName>
    <definedName name="CNR1NF657">0</definedName>
    <definedName name="CNR1NF658">0</definedName>
    <definedName name="CNR1NF66">0</definedName>
    <definedName name="CNR1NF670">0</definedName>
    <definedName name="CNR1NF671">0</definedName>
    <definedName name="CNR1NF675">0</definedName>
    <definedName name="CNR1NF678">0</definedName>
    <definedName name="CNR1NF680">0</definedName>
    <definedName name="CNR1NF6811">0</definedName>
    <definedName name="CNR1NF6812">0</definedName>
    <definedName name="CNR1NF6815">0</definedName>
    <definedName name="CNR1NF6816">0</definedName>
    <definedName name="CNR1NF6817">0</definedName>
    <definedName name="CNR1NF686">0</definedName>
    <definedName name="CNR1NF687">0</definedName>
    <definedName name="CNR1NF6870">0</definedName>
    <definedName name="CNR1NF6871">0</definedName>
    <definedName name="CNR1NF6872">0</definedName>
    <definedName name="CNR1NF68720">0</definedName>
    <definedName name="CNR1NF68725">0</definedName>
    <definedName name="CNR1NF6874">0</definedName>
    <definedName name="CNR1NF68740">0</definedName>
    <definedName name="CNR1NF68741">0</definedName>
    <definedName name="CNR1NF68742">0</definedName>
    <definedName name="CNR1NF68746">0</definedName>
    <definedName name="CNR1NF687461">0</definedName>
    <definedName name="CNR1NF687462">0</definedName>
    <definedName name="CNR1NF68748">0</definedName>
    <definedName name="CNR1NF6876">0</definedName>
    <definedName name="CNR1NF689">0</definedName>
    <definedName name="CNR1NF6894">0</definedName>
    <definedName name="CNR1NF6895">0</definedName>
    <definedName name="CNR1NF6897">0</definedName>
    <definedName name="CNR1NF7082">0</definedName>
    <definedName name="CNR1NF70821">0</definedName>
    <definedName name="CNR1NF70822">0</definedName>
    <definedName name="CNR1NF70823">0</definedName>
    <definedName name="CNR1NF70828">0</definedName>
    <definedName name="CNR1NF709D">0</definedName>
    <definedName name="CNR1NF713D">0</definedName>
    <definedName name="CNR1NF73">0</definedName>
    <definedName name="CNR1NF737">0</definedName>
    <definedName name="CNR1NF7399">0</definedName>
    <definedName name="CNR1NF770">0</definedName>
    <definedName name="CNR1NF78725">0</definedName>
    <definedName name="CNR1NF78742">0</definedName>
    <definedName name="CNR1NFS673">0</definedName>
    <definedName name="CNR1RESSR10">0</definedName>
    <definedName name="CNR1RESSR13">0</definedName>
    <definedName name="CNR1RESSR14">0</definedName>
    <definedName name="CNR1RESSR15">0</definedName>
    <definedName name="CNR1RESSR16">0</definedName>
    <definedName name="CNR1RESSR17">0</definedName>
    <definedName name="CNR1RESSR18">0</definedName>
    <definedName name="CNR1RESSR20">0</definedName>
    <definedName name="CNR1RESSR21">0</definedName>
    <definedName name="CNR1RESSR22">0</definedName>
    <definedName name="CNR1RESSR23">0</definedName>
    <definedName name="CNR1RESSR24">0</definedName>
    <definedName name="CNR1RESSR26">0</definedName>
    <definedName name="CNR1RESSR27">0</definedName>
    <definedName name="CNR1RESSR28">0</definedName>
    <definedName name="CNR1RESSR29">0</definedName>
    <definedName name="CNR1RESSR39">0</definedName>
    <definedName name="CNR1RESSR48">0</definedName>
    <definedName name="CNR1RESSR49">0</definedName>
    <definedName name="CNR1RESSR59">0</definedName>
    <definedName name="comptes601BEXN0">0</definedName>
    <definedName name="comptes601BEXN1">0</definedName>
    <definedName name="comptes601BPPN0">0</definedName>
    <definedName name="comptes601BPPNAD">0</definedName>
    <definedName name="comptes601BPPNAVS">0</definedName>
    <definedName name="comptes601BPPNENC">0</definedName>
    <definedName name="comptes601BPPNTISF">0</definedName>
    <definedName name="comptes601BRN0">0</definedName>
    <definedName name="comptes601CARN2">0</definedName>
    <definedName name="comptes601MSNN0">0</definedName>
    <definedName name="comptes602BEXN0">0</definedName>
    <definedName name="comptes602BEXN1">0</definedName>
    <definedName name="comptes602BPPN0">0</definedName>
    <definedName name="comptes602BPPNAD">0</definedName>
    <definedName name="comptes602BPPNAVS">0</definedName>
    <definedName name="comptes602BPPNENC">0</definedName>
    <definedName name="comptes602BPPNTISF">0</definedName>
    <definedName name="comptes602BRN0">0</definedName>
    <definedName name="comptes602CARN2">0</definedName>
    <definedName name="comptes602MSNN0">0</definedName>
    <definedName name="comptes603DBEXN0">0</definedName>
    <definedName name="comptes603DBEXN1">0</definedName>
    <definedName name="comptes603DBPPN0">0</definedName>
    <definedName name="comptes603DBPPNAD">0</definedName>
    <definedName name="comptes603DBPPNAVS">0</definedName>
    <definedName name="comptes603DBPPNENC">0</definedName>
    <definedName name="comptes603DBPPNTISF">0</definedName>
    <definedName name="comptes603DBRN0">0</definedName>
    <definedName name="comptes603DCARN2">0</definedName>
    <definedName name="comptes603DMSNN0">0</definedName>
    <definedName name="comptes603PBEXN0">0</definedName>
    <definedName name="comptes603PBEXN1">0</definedName>
    <definedName name="comptes603PBPPN0">0</definedName>
    <definedName name="comptes603PBPPNAD">0</definedName>
    <definedName name="comptes603PBPPNAVS">0</definedName>
    <definedName name="comptes603PBPPNENC">0</definedName>
    <definedName name="comptes603PBPPNTISF">0</definedName>
    <definedName name="comptes603PBRN0">0</definedName>
    <definedName name="comptes603PCARN2">0</definedName>
    <definedName name="comptes603PMSNN0">0</definedName>
    <definedName name="comptes606BEXN0">0</definedName>
    <definedName name="comptes606BEXN1">0</definedName>
    <definedName name="comptes606BPPN0">0</definedName>
    <definedName name="comptes606BPPNAD">0</definedName>
    <definedName name="comptes606BPPNAVS">0</definedName>
    <definedName name="comptes606BPPNENC">0</definedName>
    <definedName name="comptes606BPPNTISF">0</definedName>
    <definedName name="comptes606BRN0">0</definedName>
    <definedName name="comptes606CARN2">0</definedName>
    <definedName name="comptes606MSNN0">0</definedName>
    <definedName name="comptes607BEXN0">0</definedName>
    <definedName name="comptes607BEXN1">0</definedName>
    <definedName name="comptes607BPPN0">0</definedName>
    <definedName name="comptes607BPPNAD">0</definedName>
    <definedName name="comptes607BPPNAVS">0</definedName>
    <definedName name="comptes607BPPNENC">0</definedName>
    <definedName name="comptes607BPPNTISF">0</definedName>
    <definedName name="comptes607BRN0">0</definedName>
    <definedName name="comptes607CARN2">0</definedName>
    <definedName name="comptes607MSNN0">0</definedName>
    <definedName name="comptes609DBEXN0">0</definedName>
    <definedName name="comptes609DBEXN1">0</definedName>
    <definedName name="comptes609DBPPN0">0</definedName>
    <definedName name="comptes609DBPPNAD">0</definedName>
    <definedName name="comptes609DBPPNAVS">0</definedName>
    <definedName name="comptes609DBPPNENC">0</definedName>
    <definedName name="comptes609DBPPNTISF">0</definedName>
    <definedName name="comptes609DBPRN0">0</definedName>
    <definedName name="comptes609DCARN2">0</definedName>
    <definedName name="comptes609DMSNN0">0</definedName>
    <definedName name="comptes609PBEXN0">0</definedName>
    <definedName name="comptes609PBEXN1">0</definedName>
    <definedName name="comptes609PBPPN0">0</definedName>
    <definedName name="comptes609PBPPNAD">0</definedName>
    <definedName name="comptes609PBPPNAVS">0</definedName>
    <definedName name="comptes609PBPPNENC">0</definedName>
    <definedName name="comptes609PBPPNTISF">0</definedName>
    <definedName name="comptes609PBRN0">0</definedName>
    <definedName name="comptes609PCARN2">0</definedName>
    <definedName name="comptes609PMSNN0">0</definedName>
    <definedName name="comptes6110BEXN0">0</definedName>
    <definedName name="comptes6110BEXN1">0</definedName>
    <definedName name="comptes6110BPPN0">0</definedName>
    <definedName name="comptes6110BPPNAD">0</definedName>
    <definedName name="comptes6110BPPNAVS">0</definedName>
    <definedName name="comptes6110BPPNENC">0</definedName>
    <definedName name="comptes6110BPPNTISF">0</definedName>
    <definedName name="comptes6110BRN0">0</definedName>
    <definedName name="comptes6110CARN2">0</definedName>
    <definedName name="comptes6110MSNN0">0</definedName>
    <definedName name="comptes6111BEXN0">0</definedName>
    <definedName name="comptes6111BEXN1">0</definedName>
    <definedName name="comptes6111BPPN0">0</definedName>
    <definedName name="comptes6111BPPNAD">0</definedName>
    <definedName name="comptes6111BPPNAVS">0</definedName>
    <definedName name="comptes6111BPPNENC">0</definedName>
    <definedName name="comptes6111BPPNTISF">0</definedName>
    <definedName name="comptes6111BRN0">0</definedName>
    <definedName name="comptes6111CARN2">0</definedName>
    <definedName name="comptes6111MSNN0">0</definedName>
    <definedName name="comptes6112BEXN0">0</definedName>
    <definedName name="comptes6112BEXN1">0</definedName>
    <definedName name="comptes6112BPPN0">0</definedName>
    <definedName name="comptes6112BPPNAD">0</definedName>
    <definedName name="comptes6112BPPNAVS">0</definedName>
    <definedName name="comptes6112BPPNENC">0</definedName>
    <definedName name="comptes6112BPPNTISF">0</definedName>
    <definedName name="comptes6112BRN0">0</definedName>
    <definedName name="comptes6112CARN2">0</definedName>
    <definedName name="comptes6112MSNN0">0</definedName>
    <definedName name="comptes6118BEXN0">0</definedName>
    <definedName name="comptes6118BEXN1">0</definedName>
    <definedName name="comptes6118BPPN0">0</definedName>
    <definedName name="comptes6118BPPNAD">0</definedName>
    <definedName name="comptes6118BPPNAVS">0</definedName>
    <definedName name="comptes6118BPPNENC">0</definedName>
    <definedName name="comptes6118BPPNTISF">0</definedName>
    <definedName name="comptes6118BRN0">0</definedName>
    <definedName name="comptes6118CARN2">0</definedName>
    <definedName name="comptes6118MSNN0">0</definedName>
    <definedName name="comptes612BEXN0">0</definedName>
    <definedName name="comptes612BEXN1">0</definedName>
    <definedName name="comptes612BPPN0">0</definedName>
    <definedName name="comptes612BPPNAD">0</definedName>
    <definedName name="comptes612BPPNAVS">0</definedName>
    <definedName name="comptes612BPPNENC">0</definedName>
    <definedName name="comptes612BPPNTISF">0</definedName>
    <definedName name="comptes612BRN0">0</definedName>
    <definedName name="comptes612CARN2">0</definedName>
    <definedName name="comptes612MSNN0">0</definedName>
    <definedName name="comptes6130BEXN0">0</definedName>
    <definedName name="comptes6130BEXN1">0</definedName>
    <definedName name="comptes6130BPPN0">0</definedName>
    <definedName name="comptes6130BPPNAD">0</definedName>
    <definedName name="comptes6130BPPNAVS">0</definedName>
    <definedName name="comptes6130BPPNENC">0</definedName>
    <definedName name="comptes6130BPPNTISF">0</definedName>
    <definedName name="comptes6130BRN0">0</definedName>
    <definedName name="comptes6130CARN2">0</definedName>
    <definedName name="comptes6130MSNN0">0</definedName>
    <definedName name="comptes6132BEXN0">0</definedName>
    <definedName name="comptes6132BEXN1">0</definedName>
    <definedName name="comptes6132BPPN0">0</definedName>
    <definedName name="comptes6132BPPNAD">0</definedName>
    <definedName name="comptes6132BPPNAVS">0</definedName>
    <definedName name="comptes6132BPPNENC">0</definedName>
    <definedName name="comptes6132BPPNTISF">0</definedName>
    <definedName name="comptes6132BRN0">0</definedName>
    <definedName name="comptes6132CARN2">0</definedName>
    <definedName name="comptes6132MSNN0">0</definedName>
    <definedName name="comptes6135BEXN0">0</definedName>
    <definedName name="comptes6135BEXN1">0</definedName>
    <definedName name="comptes6135BPPN0">0</definedName>
    <definedName name="comptes6135BPPNAD">0</definedName>
    <definedName name="comptes6135BPPNAVS">0</definedName>
    <definedName name="comptes6135BPPNENC">0</definedName>
    <definedName name="comptes6135BPPNTISF">0</definedName>
    <definedName name="comptes6135BRN0">0</definedName>
    <definedName name="comptes6135CARN2">0</definedName>
    <definedName name="comptes6135MSNN0">0</definedName>
    <definedName name="comptes614BEXN0">0</definedName>
    <definedName name="comptes614BEXN1">0</definedName>
    <definedName name="comptes614BPPN0">0</definedName>
    <definedName name="comptes614BPPNAD">0</definedName>
    <definedName name="comptes614BPPNAVS">0</definedName>
    <definedName name="comptes614BPPNENC">0</definedName>
    <definedName name="comptes614BPPNTISF">0</definedName>
    <definedName name="comptes614BRN0">0</definedName>
    <definedName name="comptes614CARN2">0</definedName>
    <definedName name="comptes614MSNN0">0</definedName>
    <definedName name="comptes6150BEXN0">0</definedName>
    <definedName name="comptes6150BEXN1">0</definedName>
    <definedName name="comptes6150BPPN0">0</definedName>
    <definedName name="comptes6150BPPNAD">0</definedName>
    <definedName name="comptes6150BPPNAVS">0</definedName>
    <definedName name="comptes6150BPPNENC">0</definedName>
    <definedName name="comptes6150BPPNTISF">0</definedName>
    <definedName name="comptes6150BRN0">0</definedName>
    <definedName name="comptes6150CARN2">0</definedName>
    <definedName name="comptes6150MSNN0">0</definedName>
    <definedName name="comptes6152BEXN0">0</definedName>
    <definedName name="comptes6152BEXN1">0</definedName>
    <definedName name="comptes6152BPPN0">0</definedName>
    <definedName name="comptes6152BPPNAD">0</definedName>
    <definedName name="comptes6152BPPNAVS">0</definedName>
    <definedName name="comptes6152BPPNENC">0</definedName>
    <definedName name="comptes6152BPPNTISF">0</definedName>
    <definedName name="comptes6152BRN0">0</definedName>
    <definedName name="comptes6152CARN2">0</definedName>
    <definedName name="comptes6152MSNN0">0</definedName>
    <definedName name="comptes6155BEXN0">0</definedName>
    <definedName name="comptes6155BEXN1">0</definedName>
    <definedName name="comptes6155BPPN0">0</definedName>
    <definedName name="comptes6155BPPNAD">0</definedName>
    <definedName name="comptes6155BPPNAVS">0</definedName>
    <definedName name="comptes6155BPPNENC">0</definedName>
    <definedName name="comptes6155BPPNTISF">0</definedName>
    <definedName name="comptes6155BRN0">0</definedName>
    <definedName name="comptes6155CARN2">0</definedName>
    <definedName name="comptes6155MSNN0">0</definedName>
    <definedName name="comptes6156BEXN0">0</definedName>
    <definedName name="comptes6156BEXN1">0</definedName>
    <definedName name="comptes6156BPPN0">0</definedName>
    <definedName name="comptes6156BPPNAD">0</definedName>
    <definedName name="comptes6156BPPNAVS">0</definedName>
    <definedName name="comptes6156BPPNENC">0</definedName>
    <definedName name="comptes6156BPPNTISF">0</definedName>
    <definedName name="comptes6156BRN0">0</definedName>
    <definedName name="comptes6156CARN2">0</definedName>
    <definedName name="comptes6156MSNN0">0</definedName>
    <definedName name="comptes616BEXN0">0</definedName>
    <definedName name="comptes616BEXN1">0</definedName>
    <definedName name="comptes616BPPN0">0</definedName>
    <definedName name="comptes616BPPNAD">0</definedName>
    <definedName name="comptes616BPPNAVS">0</definedName>
    <definedName name="comptes616BPPNENC">0</definedName>
    <definedName name="comptes616BPPNTISF">0</definedName>
    <definedName name="comptes616BRN0">0</definedName>
    <definedName name="comptes616CARN2">0</definedName>
    <definedName name="comptes616MSNN0">0</definedName>
    <definedName name="comptes617BEXN0">0</definedName>
    <definedName name="comptes617BEXN1">0</definedName>
    <definedName name="comptes617BPPN0">0</definedName>
    <definedName name="comptes617BPPNAD">0</definedName>
    <definedName name="comptes617BPPNAVS">0</definedName>
    <definedName name="comptes617BPPNENC">0</definedName>
    <definedName name="comptes617BPPNTISF">0</definedName>
    <definedName name="comptes617BRN0">0</definedName>
    <definedName name="comptes617CARN2">0</definedName>
    <definedName name="comptes617MSNN0">0</definedName>
    <definedName name="comptes618BEXN0">0</definedName>
    <definedName name="comptes618BEXN1">0</definedName>
    <definedName name="comptes618BPPN0">0</definedName>
    <definedName name="comptes618BPPNAD">0</definedName>
    <definedName name="comptes618BPPNAVS">0</definedName>
    <definedName name="comptes618BPPNENC">0</definedName>
    <definedName name="comptes618BPPNTISF">0</definedName>
    <definedName name="comptes618BRN0">0</definedName>
    <definedName name="comptes618CARN2">0</definedName>
    <definedName name="comptes618MSNN0">0</definedName>
    <definedName name="comptes619BEXN0">0</definedName>
    <definedName name="comptes619BEXN1">0</definedName>
    <definedName name="comptes619BPPN0">0</definedName>
    <definedName name="comptes619CARN2">0</definedName>
    <definedName name="comptes619DBEXN0">0</definedName>
    <definedName name="comptes619DBEXN1">0</definedName>
    <definedName name="comptes619DBPPN0">0</definedName>
    <definedName name="COMPTES619DCARN2">0</definedName>
    <definedName name="comptes619DMSNN0">0</definedName>
    <definedName name="comptes619MSNN0">0</definedName>
    <definedName name="comptes619PBEXN0">0</definedName>
    <definedName name="comptes619PBEXN1">0</definedName>
    <definedName name="comptes619PBPPN0">0</definedName>
    <definedName name="comptes619PBPPNAD">0</definedName>
    <definedName name="comptes619PBPPNAVS">0</definedName>
    <definedName name="comptes619PBPPNENC">0</definedName>
    <definedName name="comptes619PBPPNTISF">0</definedName>
    <definedName name="comptes619PBRN0">0</definedName>
    <definedName name="comptes619PCARN2">0</definedName>
    <definedName name="comptes619PMSNN0">0</definedName>
    <definedName name="comptes620BEXN0">0</definedName>
    <definedName name="comptes620BEXN1">0</definedName>
    <definedName name="comptes620BPPN0">0</definedName>
    <definedName name="comptes620BPPNAD">0</definedName>
    <definedName name="comptes620BPPNAVS">0</definedName>
    <definedName name="comptes620BPPNENC">0</definedName>
    <definedName name="comptes620BPPNTISF">0</definedName>
    <definedName name="comptes620BRN0">0</definedName>
    <definedName name="comptes620CARN2">0</definedName>
    <definedName name="comptes620MSNN0">0</definedName>
    <definedName name="comptes621BEXN0">0</definedName>
    <definedName name="comptes621BEXN1">0</definedName>
    <definedName name="comptes621BPPN0">0</definedName>
    <definedName name="comptes621BPPNAD">0</definedName>
    <definedName name="comptes621BPPNAVS">0</definedName>
    <definedName name="comptes621BPPNENC">0</definedName>
    <definedName name="comptes621BPPNTISF">0</definedName>
    <definedName name="comptes621BRN0">0</definedName>
    <definedName name="comptes621CARN2">0</definedName>
    <definedName name="comptes621MSNN0">0</definedName>
    <definedName name="comptes622BEXN0">0</definedName>
    <definedName name="comptes622BEXN1">0</definedName>
    <definedName name="comptes622BPPN0">0</definedName>
    <definedName name="comptes622BPPNAD">0</definedName>
    <definedName name="comptes622BPPNAVS">0</definedName>
    <definedName name="comptes622BPPNENC">0</definedName>
    <definedName name="comptes622BPPNTISF">0</definedName>
    <definedName name="comptes622BRN0">0</definedName>
    <definedName name="comptes622CARN2">0</definedName>
    <definedName name="comptes622MSNN0">0</definedName>
    <definedName name="comptes623BEXN0">0</definedName>
    <definedName name="comptes623BEXN1">0</definedName>
    <definedName name="comptes623BPPN0">0</definedName>
    <definedName name="comptes623BPPNAD">0</definedName>
    <definedName name="comptes623BPPNAVS">0</definedName>
    <definedName name="comptes623BPPNENC">0</definedName>
    <definedName name="comptes623BPPNTISF">0</definedName>
    <definedName name="comptes623BRN0">0</definedName>
    <definedName name="comptes623CARN2">0</definedName>
    <definedName name="comptes623MSNN0">0</definedName>
    <definedName name="comptes6240BEXN0">0</definedName>
    <definedName name="comptes6240BEXN1">0</definedName>
    <definedName name="comptes6240BPPN0">0</definedName>
    <definedName name="comptes6240CARN2">0</definedName>
    <definedName name="comptes6240MSNN0">0</definedName>
    <definedName name="comptes6241BEXN0">0</definedName>
    <definedName name="comptes6241BEXN1">0</definedName>
    <definedName name="comptes6241BPPN0">0</definedName>
    <definedName name="comptes6241BPPNAD">0</definedName>
    <definedName name="comptes6241BPPNAVS">0</definedName>
    <definedName name="comptes6241BPPNENC">0</definedName>
    <definedName name="comptes6241BPPNTISF">0</definedName>
    <definedName name="comptes6241BRN0">0</definedName>
    <definedName name="comptes6241CARN2">0</definedName>
    <definedName name="comptes6241MSNN0">0</definedName>
    <definedName name="comptes6242BEXN0">0</definedName>
    <definedName name="comptes6242BEXN1">0</definedName>
    <definedName name="comptes6242BPPN0">0</definedName>
    <definedName name="comptes6242BPPNAD">0</definedName>
    <definedName name="comptes6242BPPNAVS">0</definedName>
    <definedName name="comptes6242BPPNENC">0</definedName>
    <definedName name="comptes6242BPPNTISF">0</definedName>
    <definedName name="comptes6242BRN0">0</definedName>
    <definedName name="comptes6242CARN2">0</definedName>
    <definedName name="comptes6242MSNN0">0</definedName>
    <definedName name="comptes6247BEXN0">0</definedName>
    <definedName name="comptes6247BEXN1">0</definedName>
    <definedName name="comptes6247BPPN0">0</definedName>
    <definedName name="comptes6247BPPNAD">0</definedName>
    <definedName name="comptes6247BPPNAVS">0</definedName>
    <definedName name="comptes6247BPPNENC">0</definedName>
    <definedName name="comptes6247BPPNTISF">0</definedName>
    <definedName name="comptes6247BRN0">0</definedName>
    <definedName name="comptes6247CARN2">0</definedName>
    <definedName name="comptes6247MSNN0">0</definedName>
    <definedName name="comptes6248BEXN0">0</definedName>
    <definedName name="comptes6248BEXN1">0</definedName>
    <definedName name="comptes6248BPPN0">0</definedName>
    <definedName name="comptes6248BPPNAD">0</definedName>
    <definedName name="comptes6248BPPNAVS">0</definedName>
    <definedName name="comptes6248BPPNENC">0</definedName>
    <definedName name="comptes6248BPPNTISF">0</definedName>
    <definedName name="comptes6248BRN0">0</definedName>
    <definedName name="comptes6248CARN2">0</definedName>
    <definedName name="comptes6248MSNN0">0</definedName>
    <definedName name="comptes625BEXN0">0</definedName>
    <definedName name="comptes625BEXN1">0</definedName>
    <definedName name="comptes625BPPN0">0</definedName>
    <definedName name="comptes625BPPNAD">0</definedName>
    <definedName name="comptes625BPPNAVS">0</definedName>
    <definedName name="comptes625BPPNENC">0</definedName>
    <definedName name="comptes625BPPNTISF">0</definedName>
    <definedName name="comptes625BRN0">0</definedName>
    <definedName name="comptes625CARN2">0</definedName>
    <definedName name="comptes625MSNN0">0</definedName>
    <definedName name="comptes626BEXN0">0</definedName>
    <definedName name="comptes626BEXN1">0</definedName>
    <definedName name="comptes626BPPN0">0</definedName>
    <definedName name="comptes626BPPNAD">0</definedName>
    <definedName name="comptes626BPPNAVS">0</definedName>
    <definedName name="comptes626BPPNENC">0</definedName>
    <definedName name="comptes626BPPNTISF">0</definedName>
    <definedName name="comptes626BRN0">0</definedName>
    <definedName name="comptes626CARN2">0</definedName>
    <definedName name="comptes626MSNN0">0</definedName>
    <definedName name="comptes627BEXN0">0</definedName>
    <definedName name="comptes627BEXN1">0</definedName>
    <definedName name="comptes627BPPN0">0</definedName>
    <definedName name="comptes627BPPNAD">0</definedName>
    <definedName name="comptes627BPPNAVS">0</definedName>
    <definedName name="comptes627BPPNENC">0</definedName>
    <definedName name="comptes627BPPNTISF">0</definedName>
    <definedName name="comptes627BRN0">0</definedName>
    <definedName name="comptes627CARN2">0</definedName>
    <definedName name="comptes627MSNN0">0</definedName>
    <definedName name="comptes6280BEXN0">0</definedName>
    <definedName name="comptes6280BEXN1">0</definedName>
    <definedName name="comptes6280BPPN0">0</definedName>
    <definedName name="comptes6280BPPNAD">0</definedName>
    <definedName name="comptes6280BPPNAVS">0</definedName>
    <definedName name="comptes6280BPPNENC">0</definedName>
    <definedName name="comptes6280BPPNTISF">0</definedName>
    <definedName name="comptes6280BRN0">0</definedName>
    <definedName name="comptes6280CARN2">0</definedName>
    <definedName name="comptes6280MSNN0">0</definedName>
    <definedName name="comptes6281BEXN0">0</definedName>
    <definedName name="comptes6281BEXN1">0</definedName>
    <definedName name="comptes6281BPPN0">0</definedName>
    <definedName name="comptes6281BPPNAD">0</definedName>
    <definedName name="comptes6281BPPNAVS">0</definedName>
    <definedName name="comptes6281BPPNENC">0</definedName>
    <definedName name="comptes6281BPPNTISF">0</definedName>
    <definedName name="comptes6281BRN0">0</definedName>
    <definedName name="comptes6281CARN2">0</definedName>
    <definedName name="comptes6281MSNN0">0</definedName>
    <definedName name="comptes6282BEXN0">0</definedName>
    <definedName name="comptes6282BEXN1">0</definedName>
    <definedName name="comptes6282BPPN0">0</definedName>
    <definedName name="comptes6282BPPNAD">0</definedName>
    <definedName name="comptes6282BPPNAVS">0</definedName>
    <definedName name="comptes6282BPPNENC">0</definedName>
    <definedName name="comptes6282BPPNTISF">0</definedName>
    <definedName name="comptes6282BRN0">0</definedName>
    <definedName name="comptes6282CARN2">0</definedName>
    <definedName name="comptes6282MSNN0">0</definedName>
    <definedName name="comptes6283BEXN0">0</definedName>
    <definedName name="comptes6283BEXN1">0</definedName>
    <definedName name="comptes6283BPPN0">0</definedName>
    <definedName name="comptes6283BPPNAD">0</definedName>
    <definedName name="comptes6283BPPNAVS">0</definedName>
    <definedName name="comptes6283BPPNENC">0</definedName>
    <definedName name="comptes6283BPPNTISF">0</definedName>
    <definedName name="comptes6283BRN0">0</definedName>
    <definedName name="comptes6283CARN2">0</definedName>
    <definedName name="comptes6283MSNN0">0</definedName>
    <definedName name="comptes6284BEXN0">0</definedName>
    <definedName name="comptes6284BEXN1">0</definedName>
    <definedName name="comptes6284BPPN0">0</definedName>
    <definedName name="comptes6284BPPNAD">0</definedName>
    <definedName name="comptes6284BPPNAVS">0</definedName>
    <definedName name="comptes6284BPPNENC">0</definedName>
    <definedName name="comptes6284BPPNTISF">0</definedName>
    <definedName name="comptes6284BRN0">0</definedName>
    <definedName name="comptes6284CARN2">0</definedName>
    <definedName name="comptes6284MSNN0">0</definedName>
    <definedName name="comptes6287BEXN0">0</definedName>
    <definedName name="comptes6287BEXN1">0</definedName>
    <definedName name="comptes6287BPPN0">0</definedName>
    <definedName name="comptes6287BPPNAD">0</definedName>
    <definedName name="comptes6287BPPNAVS">0</definedName>
    <definedName name="comptes6287BPPNENC">0</definedName>
    <definedName name="comptes6287BPPNTISF">0</definedName>
    <definedName name="comptes6287BRN0">0</definedName>
    <definedName name="comptes6287CARN2">0</definedName>
    <definedName name="comptes6287MSNN0">0</definedName>
    <definedName name="comptes6288BEXN0">0</definedName>
    <definedName name="comptes6288BEXN1">0</definedName>
    <definedName name="comptes6288BPPN0">0</definedName>
    <definedName name="comptes6288BPPNAD">0</definedName>
    <definedName name="comptes6288BPPNAVS">0</definedName>
    <definedName name="comptes6288BPPNENC">0</definedName>
    <definedName name="comptes6288BPPNTISF">0</definedName>
    <definedName name="comptes6288BRN0">0</definedName>
    <definedName name="comptes6288CARN2">0</definedName>
    <definedName name="comptes6288MSNN0">0</definedName>
    <definedName name="comptes6289BEXN0">0</definedName>
    <definedName name="comptes6289BEXN1">0</definedName>
    <definedName name="comptes6289BPPN0">0</definedName>
    <definedName name="comptes6289CARN2">0</definedName>
    <definedName name="comptes6289MSNN0">0</definedName>
    <definedName name="comptes629BEXN0">0</definedName>
    <definedName name="comptes629BEXN1">0</definedName>
    <definedName name="comptes629BPPN0">0</definedName>
    <definedName name="comptes629CARN2">0</definedName>
    <definedName name="comptes629DBEXN0">0</definedName>
    <definedName name="comptes629DBEXN1">0</definedName>
    <definedName name="comptes629DBPPN0">0</definedName>
    <definedName name="comptes629DCARN2">0</definedName>
    <definedName name="comptes629DMSNN0">0</definedName>
    <definedName name="comptes629MSNN0">0</definedName>
    <definedName name="comptes629PBEXN0">0</definedName>
    <definedName name="comptes629PBEXN1">0</definedName>
    <definedName name="comptes629PBPPN0">0</definedName>
    <definedName name="comptes629PBPPNAD">0</definedName>
    <definedName name="comptes629PBPPNAVS">0</definedName>
    <definedName name="comptes629PBPPNENC">0</definedName>
    <definedName name="comptes629PBPPNTISF">0</definedName>
    <definedName name="comptes629PBRN0">0</definedName>
    <definedName name="comptes629PCARN2">0</definedName>
    <definedName name="comptes629PMSNN0">0</definedName>
    <definedName name="comptes631BEXN0">0</definedName>
    <definedName name="comptes631BEXN1">0</definedName>
    <definedName name="comptes631BPPN0">0</definedName>
    <definedName name="comptes631BPPNAD">0</definedName>
    <definedName name="comptes631BPPNAVS">0</definedName>
    <definedName name="comptes631BPPNENC">0</definedName>
    <definedName name="comptes631BPPNTISF">0</definedName>
    <definedName name="comptes631BRN0">0</definedName>
    <definedName name="comptes631CARN2">0</definedName>
    <definedName name="comptes631MSNN0">0</definedName>
    <definedName name="comptes633BEXN0">0</definedName>
    <definedName name="comptes633BEXN1">0</definedName>
    <definedName name="comptes633BPPN0">0</definedName>
    <definedName name="comptes633BPPNAD">0</definedName>
    <definedName name="comptes633BPPNAVS">0</definedName>
    <definedName name="comptes633BPPNENC">0</definedName>
    <definedName name="comptes633BPPNTISF">0</definedName>
    <definedName name="comptes633BRN0">0</definedName>
    <definedName name="comptes633CARN2">0</definedName>
    <definedName name="comptes633MSNN0">0</definedName>
    <definedName name="comptes635BEXN0">0</definedName>
    <definedName name="comptes635BEXN1">0</definedName>
    <definedName name="comptes635BPPN0">0</definedName>
    <definedName name="comptes635BPPNAD">0</definedName>
    <definedName name="comptes635BPPNAVS">0</definedName>
    <definedName name="comptes635BPPNENC">0</definedName>
    <definedName name="comptes635BPPNTISF">0</definedName>
    <definedName name="comptes635BRN0">0</definedName>
    <definedName name="comptes635CARN2">0</definedName>
    <definedName name="comptes635MSNN0">0</definedName>
    <definedName name="comptes637BEXN0">0</definedName>
    <definedName name="comptes637BEXN1">0</definedName>
    <definedName name="comptes637BPPN0">0</definedName>
    <definedName name="comptes637BPPNAD">0</definedName>
    <definedName name="comptes637BPPNAVS">0</definedName>
    <definedName name="comptes637BPPNENC">0</definedName>
    <definedName name="comptes637BPPNTISF">0</definedName>
    <definedName name="comptes637BRN0">0</definedName>
    <definedName name="comptes637CARN2">0</definedName>
    <definedName name="comptes637MSNN0">0</definedName>
    <definedName name="comptes640BEXN0">0</definedName>
    <definedName name="comptes640BEXN1">0</definedName>
    <definedName name="comptes640BPPN0">0</definedName>
    <definedName name="comptes640BPPNAD">0</definedName>
    <definedName name="comptes640BPPNAVS">0</definedName>
    <definedName name="comptes640BPPNENC">0</definedName>
    <definedName name="comptes640BPPNTISF">0</definedName>
    <definedName name="comptes640BRN0">0</definedName>
    <definedName name="comptes640CARN2">0</definedName>
    <definedName name="comptes640MSNN0">0</definedName>
    <definedName name="comptes6419PBEXN0">0</definedName>
    <definedName name="comptes6419PBEXN1">0</definedName>
    <definedName name="comptes6419PBPPN0">0</definedName>
    <definedName name="comptes6419PBPPNAD">0</definedName>
    <definedName name="comptes6419PBPPNAVS">0</definedName>
    <definedName name="comptes6419PBPPNENC">0</definedName>
    <definedName name="comptes6419PBPPNTISF">0</definedName>
    <definedName name="comptes6419PBRN0">0</definedName>
    <definedName name="comptes6419PCARN2">0</definedName>
    <definedName name="comptes6419PMSNN0">0</definedName>
    <definedName name="comptes641BEXN0">0</definedName>
    <definedName name="comptes641BEXN1">0</definedName>
    <definedName name="comptes641BPPN0">0</definedName>
    <definedName name="comptes641BPPNAD">0</definedName>
    <definedName name="comptes641BPPNAVS">0</definedName>
    <definedName name="comptes641BPPNENC">0</definedName>
    <definedName name="comptes641BPPNTISF">0</definedName>
    <definedName name="comptes641BRN0">0</definedName>
    <definedName name="comptes641CARN2">0</definedName>
    <definedName name="comptes641MSNN0">0</definedName>
    <definedName name="comptes6429PBEXN0">0</definedName>
    <definedName name="comptes6429PBEXN1">0</definedName>
    <definedName name="comptes6429PBPPN0">0</definedName>
    <definedName name="comptes6429PBPPNAD">0</definedName>
    <definedName name="comptes6429PBPPNAVS">0</definedName>
    <definedName name="comptes6429PBPPNENC">0</definedName>
    <definedName name="comptes6429PBPPNTISF">0</definedName>
    <definedName name="comptes6429PBRN0">0</definedName>
    <definedName name="comptes6429PCARN2">0</definedName>
    <definedName name="comptes6429PMSNN0">0</definedName>
    <definedName name="comptes642BEXN0">0</definedName>
    <definedName name="comptes642BEXN1">0</definedName>
    <definedName name="comptes642BPPN0">0</definedName>
    <definedName name="comptes642BPPNAD">0</definedName>
    <definedName name="comptes642BPPNAVS">0</definedName>
    <definedName name="comptes642BPPNENC">0</definedName>
    <definedName name="comptes642BPPNTISF">0</definedName>
    <definedName name="comptes642BRN0">0</definedName>
    <definedName name="comptes642CARN2">0</definedName>
    <definedName name="comptes642MSNN0">0</definedName>
    <definedName name="comptes643BEXN0">0</definedName>
    <definedName name="comptes643BEXN1">0</definedName>
    <definedName name="comptes643BPPN0">0</definedName>
    <definedName name="comptes643BPPNAD">0</definedName>
    <definedName name="comptes643BPPNAVS">0</definedName>
    <definedName name="comptes643BPPNENC">0</definedName>
    <definedName name="comptes643BPPNTISF">0</definedName>
    <definedName name="comptes643BRN0">0</definedName>
    <definedName name="comptes643CARN2">0</definedName>
    <definedName name="comptes643MSNN0">0</definedName>
    <definedName name="comptes645BEXN0">0</definedName>
    <definedName name="comptes645BEXN1">0</definedName>
    <definedName name="comptes645BPPN0">0</definedName>
    <definedName name="comptes645BPPNAD">0</definedName>
    <definedName name="comptes645BPPNAVS">0</definedName>
    <definedName name="comptes645BPPNENC">0</definedName>
    <definedName name="comptes645BPPNTISF">0</definedName>
    <definedName name="comptes645BRN0">0</definedName>
    <definedName name="comptes645CARN2">0</definedName>
    <definedName name="comptes645MSNN0">0</definedName>
    <definedName name="comptes646BEXN0">0</definedName>
    <definedName name="comptes646BEXN1">0</definedName>
    <definedName name="comptes646BPPN0">0</definedName>
    <definedName name="comptes646BPPNAD">0</definedName>
    <definedName name="comptes646BPPNAVS">0</definedName>
    <definedName name="comptes646BPPNENC">0</definedName>
    <definedName name="comptes646BPPNTISF">0</definedName>
    <definedName name="comptes646BRN0">0</definedName>
    <definedName name="comptes646CARN2">0</definedName>
    <definedName name="comptes646MSNN0">0</definedName>
    <definedName name="comptes647BEXN0">0</definedName>
    <definedName name="comptes647BEXN1">0</definedName>
    <definedName name="comptes647BPPN0">0</definedName>
    <definedName name="comptes647BPPNAD">0</definedName>
    <definedName name="comptes647BPPNAVS">0</definedName>
    <definedName name="comptes647BPPNENC">0</definedName>
    <definedName name="comptes647BPPNTISF">0</definedName>
    <definedName name="comptes647BRN0">0</definedName>
    <definedName name="comptes647CARN2">0</definedName>
    <definedName name="comptes647MSNN0">0</definedName>
    <definedName name="comptes6489PBEXN0">0</definedName>
    <definedName name="comptes6489PBEXN1">0</definedName>
    <definedName name="comptes6489PBPPN0">0</definedName>
    <definedName name="comptes6489PBPPNAD">0</definedName>
    <definedName name="comptes6489PBPPNAVS">0</definedName>
    <definedName name="comptes6489PBPPNENC">0</definedName>
    <definedName name="comptes6489PBPPNTISF">0</definedName>
    <definedName name="comptes6489PBRN0">0</definedName>
    <definedName name="comptes6489PCARN2">0</definedName>
    <definedName name="comptes6489PMSNN0">0</definedName>
    <definedName name="comptes648BEXN0">0</definedName>
    <definedName name="comptes648BEXN1">0</definedName>
    <definedName name="comptes648BPPN0">0</definedName>
    <definedName name="comptes648BPPNAD">0</definedName>
    <definedName name="comptes648BPPNAVS">0</definedName>
    <definedName name="comptes648BPPNENC">0</definedName>
    <definedName name="comptes648BPPNTISF">0</definedName>
    <definedName name="comptes648BRN0">0</definedName>
    <definedName name="comptes648CARN2">0</definedName>
    <definedName name="comptes648MSNN0">0</definedName>
    <definedName name="comptes6499BEXN0">0</definedName>
    <definedName name="comptes6499BEXN1">0</definedName>
    <definedName name="comptes6499BPPN0">0</definedName>
    <definedName name="comptes6499BPPNAD">0</definedName>
    <definedName name="comptes6499BPPNAVS">0</definedName>
    <definedName name="comptes6499BPPNENC">0</definedName>
    <definedName name="comptes6499BPPNTISF">0</definedName>
    <definedName name="comptes6499BRN0">0</definedName>
    <definedName name="comptes6499CARN2">0</definedName>
    <definedName name="comptes6499MSNN0">0</definedName>
    <definedName name="comptes650BEXN0">0</definedName>
    <definedName name="comptes650BEXN1">0</definedName>
    <definedName name="comptes650BPPN0">0</definedName>
    <definedName name="comptes650BPPNAD">0</definedName>
    <definedName name="comptes650BPPNAVS">0</definedName>
    <definedName name="comptes650BPPNENC">0</definedName>
    <definedName name="comptes650BPPNTISF">0</definedName>
    <definedName name="comptes650BRN0">0</definedName>
    <definedName name="comptes650CARN2">0</definedName>
    <definedName name="comptes650MSNN0">0</definedName>
    <definedName name="comptes651BEXN0">0</definedName>
    <definedName name="comptes651BEXN1">0</definedName>
    <definedName name="comptes651BPPN0">0</definedName>
    <definedName name="comptes651BPPNAD">0</definedName>
    <definedName name="comptes651BPPNAVS">0</definedName>
    <definedName name="comptes651BPPNENC">0</definedName>
    <definedName name="comptes651BPPNTISF">0</definedName>
    <definedName name="comptes651BRN0">0</definedName>
    <definedName name="comptes651CARN2">0</definedName>
    <definedName name="comptes651MSNN0">0</definedName>
    <definedName name="comptes654BEXN0">0</definedName>
    <definedName name="comptes654BEXN1">0</definedName>
    <definedName name="comptes654BPPN0">0</definedName>
    <definedName name="comptes654BPPNAD">0</definedName>
    <definedName name="comptes654BPPNAVS">0</definedName>
    <definedName name="comptes654BPPNENC">0</definedName>
    <definedName name="comptes654BPPNTISF">0</definedName>
    <definedName name="comptes654BRN0">0</definedName>
    <definedName name="comptes654CARN2">0</definedName>
    <definedName name="comptes654MSNN0">0</definedName>
    <definedName name="comptes655BEXN0">0</definedName>
    <definedName name="comptes655BEXN1">0</definedName>
    <definedName name="comptes655BPPN0">0</definedName>
    <definedName name="comptes655BPPNAD">0</definedName>
    <definedName name="comptes655BPPNAVS">0</definedName>
    <definedName name="comptes655BPPNENC">0</definedName>
    <definedName name="comptes655BPPNTISF">0</definedName>
    <definedName name="comptes655BRN0">0</definedName>
    <definedName name="comptes655CARN2">0</definedName>
    <definedName name="comptes655MSNN0">0</definedName>
    <definedName name="comptes657BEXN0">0</definedName>
    <definedName name="comptes657BEXN1">0</definedName>
    <definedName name="comptes657BPPN0">0</definedName>
    <definedName name="comptes657BPPNAD">0</definedName>
    <definedName name="comptes657BPPNAVS">0</definedName>
    <definedName name="comptes657BPPNENC">0</definedName>
    <definedName name="comptes657BPPNTISF">0</definedName>
    <definedName name="comptes657BRN0">0</definedName>
    <definedName name="comptes657CARN2">0</definedName>
    <definedName name="comptes657MSNN0">0</definedName>
    <definedName name="comptes658BEXN0">0</definedName>
    <definedName name="comptes658BEXN1">0</definedName>
    <definedName name="comptes658BPPN0">0</definedName>
    <definedName name="comptes658BPPNAD">0</definedName>
    <definedName name="comptes658BPPNAVS">0</definedName>
    <definedName name="comptes658BPPNENC">0</definedName>
    <definedName name="comptes658BPPNTISF">0</definedName>
    <definedName name="comptes658BRN0">0</definedName>
    <definedName name="comptes658CARN2">0</definedName>
    <definedName name="comptes658MSNN0">0</definedName>
    <definedName name="comptes6611PBEXN0">0</definedName>
    <definedName name="comptes6611PBEXN1">0</definedName>
    <definedName name="comptes6611PBPPN0">0</definedName>
    <definedName name="comptes6611PBPPNAD">0</definedName>
    <definedName name="comptes6611PBPPNAVS">0</definedName>
    <definedName name="comptes6611PBPPNENC">0</definedName>
    <definedName name="comptes6611PBPPNTISF">0</definedName>
    <definedName name="comptes6611PBRN0">0</definedName>
    <definedName name="comptes6611PCARN2">0</definedName>
    <definedName name="comptes6611PMSNN0">0</definedName>
    <definedName name="comptes66BEXN0">0</definedName>
    <definedName name="comptes66BEXN1">0</definedName>
    <definedName name="comptes66BPPN0">0</definedName>
    <definedName name="comptes66BPPNAD">0</definedName>
    <definedName name="comptes66BPPNAVS">0</definedName>
    <definedName name="comptes66BPPNENC">0</definedName>
    <definedName name="comptes66BPPNTISF">0</definedName>
    <definedName name="comptes66BRN0">0</definedName>
    <definedName name="comptes66CARN2">0</definedName>
    <definedName name="comptes66MSNN0">0</definedName>
    <definedName name="comptes670BEXN0">0</definedName>
    <definedName name="comptes670BEXN1">0</definedName>
    <definedName name="comptes670BPPN0">0</definedName>
    <definedName name="comptes670BPPNAD">0</definedName>
    <definedName name="comptes670BPPNAVS">0</definedName>
    <definedName name="comptes670BPPNENC">0</definedName>
    <definedName name="comptes670BPPNTISF">0</definedName>
    <definedName name="comptes670BRN0">0</definedName>
    <definedName name="comptes670CARN2">0</definedName>
    <definedName name="comptes670MSNN0">0</definedName>
    <definedName name="comptes671BEXN0">0</definedName>
    <definedName name="comptes671BEXN1">0</definedName>
    <definedName name="comptes671BPPN0">0</definedName>
    <definedName name="comptes671BPPNAD">0</definedName>
    <definedName name="comptes671BPPNAVS">0</definedName>
    <definedName name="comptes671BPPNENC">0</definedName>
    <definedName name="comptes671BPPNTISF">0</definedName>
    <definedName name="comptes671BRN0">0</definedName>
    <definedName name="comptes671CARN2">0</definedName>
    <definedName name="comptes671MSNN0">0</definedName>
    <definedName name="comptes673BEXN0">0</definedName>
    <definedName name="comptes673BEXN1">0</definedName>
    <definedName name="comptes673BPPN0">0</definedName>
    <definedName name="comptes673BPPNAD">0</definedName>
    <definedName name="comptes673BPPNAVS">0</definedName>
    <definedName name="comptes673BPPNENC">0</definedName>
    <definedName name="comptes673BPPNTISF">0</definedName>
    <definedName name="comptes673BRN0">0</definedName>
    <definedName name="comptes673CARN2">0</definedName>
    <definedName name="comptes673MSNN0">0</definedName>
    <definedName name="comptes675BEXN0">0</definedName>
    <definedName name="comptes675BEXN1">0</definedName>
    <definedName name="comptes675BPPN0">0</definedName>
    <definedName name="comptes675BPPNAD">0</definedName>
    <definedName name="comptes675BPPNAVS">0</definedName>
    <definedName name="comptes675BPPNENC">0</definedName>
    <definedName name="comptes675BPPNTISF">0</definedName>
    <definedName name="comptes675BRN0">0</definedName>
    <definedName name="comptes675CARN2">0</definedName>
    <definedName name="comptes675MSNN0">0</definedName>
    <definedName name="comptes678BEXN0">0</definedName>
    <definedName name="comptes678BEXN1">0</definedName>
    <definedName name="comptes678BPPN0">0</definedName>
    <definedName name="comptes678BPPNAD">0</definedName>
    <definedName name="comptes678BPPNAVS">0</definedName>
    <definedName name="comptes678BPPNENC">0</definedName>
    <definedName name="comptes678BPPNTISF">0</definedName>
    <definedName name="comptes678BRN0">0</definedName>
    <definedName name="comptes678CARN2">0</definedName>
    <definedName name="comptes678MSNN0">0</definedName>
    <definedName name="comptes680BEXN0">0</definedName>
    <definedName name="comptes680BEXN1">0</definedName>
    <definedName name="comptes680BPPN0">0</definedName>
    <definedName name="comptes680BPPNAD">0</definedName>
    <definedName name="comptes680BPPNAVS">0</definedName>
    <definedName name="comptes680BPPNENC">0</definedName>
    <definedName name="comptes680BPPNTISF">0</definedName>
    <definedName name="comptes680BRN0">0</definedName>
    <definedName name="comptes680CARN2">0</definedName>
    <definedName name="comptes680MSNN0">0</definedName>
    <definedName name="comptes6811BEXN0">0</definedName>
    <definedName name="comptes6811BEXN1">0</definedName>
    <definedName name="comptes6811BPPN0">0</definedName>
    <definedName name="comptes6811BPPNAD">0</definedName>
    <definedName name="comptes6811BPPNAVS">0</definedName>
    <definedName name="comptes6811BPPNENC">0</definedName>
    <definedName name="comptes6811BPPNTISF">0</definedName>
    <definedName name="comptes6811BRN0">0</definedName>
    <definedName name="comptes6811CARN2">0</definedName>
    <definedName name="comptes6811MSNN0">0</definedName>
    <definedName name="comptes6812BEXN0">0</definedName>
    <definedName name="comptes6812BEXN1">0</definedName>
    <definedName name="comptes6812BPPN0">0</definedName>
    <definedName name="comptes6812BPPNAD">0</definedName>
    <definedName name="comptes6812BPPNAVS">0</definedName>
    <definedName name="comptes6812BPPNENC">0</definedName>
    <definedName name="comptes6812BPPNTISF">0</definedName>
    <definedName name="comptes6812BRN0">0</definedName>
    <definedName name="comptes6812CARN2">0</definedName>
    <definedName name="comptes6812MSNN0">0</definedName>
    <definedName name="comptes6815BEXN0">0</definedName>
    <definedName name="comptes6815BEXN1">0</definedName>
    <definedName name="comptes6815BPPN0">0</definedName>
    <definedName name="comptes6815BPPNAD">0</definedName>
    <definedName name="comptes6815BPPNAVS">0</definedName>
    <definedName name="comptes6815BPPNENC">0</definedName>
    <definedName name="comptes6815BPPNTISF">0</definedName>
    <definedName name="comptes6815BRN0">0</definedName>
    <definedName name="comptes6815CARN2">0</definedName>
    <definedName name="comptes6815MSNN0">0</definedName>
    <definedName name="comptes6816BEXN0">0</definedName>
    <definedName name="comptes6816BEXN1">0</definedName>
    <definedName name="comptes6816BPPN0">0</definedName>
    <definedName name="comptes6816BPPNAD">0</definedName>
    <definedName name="comptes6816BPPNAVS">0</definedName>
    <definedName name="comptes6816BPPNENC">0</definedName>
    <definedName name="comptes6816BPPNTISF">0</definedName>
    <definedName name="comptes6816BRN0">0</definedName>
    <definedName name="comptes6816CARN2">0</definedName>
    <definedName name="comptes6816MSNN0">0</definedName>
    <definedName name="comptes6817BEXN0">0</definedName>
    <definedName name="comptes6817BEXN1">0</definedName>
    <definedName name="comptes6817BPPN0">0</definedName>
    <definedName name="comptes6817BPPNAD">0</definedName>
    <definedName name="comptes6817BPPNAVS">0</definedName>
    <definedName name="comptes6817BPPNENC">0</definedName>
    <definedName name="comptes6817BPPNTISF">0</definedName>
    <definedName name="comptes6817BRN0">0</definedName>
    <definedName name="comptes6817CARN2">0</definedName>
    <definedName name="comptes6817MSNN0">0</definedName>
    <definedName name="comptes686BEXN0">0</definedName>
    <definedName name="comptes686BEXN1">0</definedName>
    <definedName name="comptes686BPPN0">0</definedName>
    <definedName name="comptes686BPPNAD">0</definedName>
    <definedName name="comptes686BPPNAVS">0</definedName>
    <definedName name="comptes686BPPNENC">0</definedName>
    <definedName name="comptes686BPPNTISF">0</definedName>
    <definedName name="comptes686BRN0">0</definedName>
    <definedName name="comptes686CARN2">0</definedName>
    <definedName name="comptes686MSNN0">0</definedName>
    <definedName name="comptes6871BEXN0">0</definedName>
    <definedName name="comptes6871BEXN1">0</definedName>
    <definedName name="comptes6871BPPN0">0</definedName>
    <definedName name="comptes6871BRN0">0</definedName>
    <definedName name="comptes6871CARN2">0</definedName>
    <definedName name="comptes6871MSNN0">0</definedName>
    <definedName name="comptes68725BEXN0">0</definedName>
    <definedName name="comptes68725BEXN1">0</definedName>
    <definedName name="comptes68725BPPN0">0</definedName>
    <definedName name="comptes68725BRN0">0</definedName>
    <definedName name="comptes68725CARN2">0</definedName>
    <definedName name="comptes68725MSNN0">0</definedName>
    <definedName name="comptes6872BEXN0">0</definedName>
    <definedName name="comptes6872BEXN1">0</definedName>
    <definedName name="comptes6872BPPN0">0</definedName>
    <definedName name="comptes6872BRN0">0</definedName>
    <definedName name="comptes6872CARN2">0</definedName>
    <definedName name="comptes6872MSNN0">0</definedName>
    <definedName name="comptes68741BEXN0">0</definedName>
    <definedName name="comptes68741BEXN1">0</definedName>
    <definedName name="comptes68741BPPN0">0</definedName>
    <definedName name="comptes68741BPPNAD">0</definedName>
    <definedName name="comptes68741BPPNAVS">0</definedName>
    <definedName name="comptes68741BPPNENC">0</definedName>
    <definedName name="comptes68741BPPNTISF">0</definedName>
    <definedName name="comptes68741BRN0">0</definedName>
    <definedName name="comptes68741CARN2">0</definedName>
    <definedName name="comptes68741MSNN0">0</definedName>
    <definedName name="comptes68742BEXN0">0</definedName>
    <definedName name="comptes68742BEXN1">0</definedName>
    <definedName name="comptes68742BPPN0">0</definedName>
    <definedName name="comptes68742BRN0">0</definedName>
    <definedName name="comptes68742CARN2">0</definedName>
    <definedName name="comptes68742MSNN0">0</definedName>
    <definedName name="comptes687461BEXN0">0</definedName>
    <definedName name="comptes687461BEXN1">0</definedName>
    <definedName name="comptes687461BPPN0">0</definedName>
    <definedName name="comptes687461BRN0">0</definedName>
    <definedName name="comptes687461CARN2">0</definedName>
    <definedName name="comptes687461MSNN0">0</definedName>
    <definedName name="comptes687462BEXN0">0</definedName>
    <definedName name="comptes687462BEXN1">0</definedName>
    <definedName name="comptes687462BPPN0">0</definedName>
    <definedName name="comptes687462BRN0">0</definedName>
    <definedName name="comptes687462CARN2">0</definedName>
    <definedName name="comptes687462MSNN0">0</definedName>
    <definedName name="comptes68746BEXN0">0</definedName>
    <definedName name="comptes68746BEXN1">0</definedName>
    <definedName name="comptes68746BPPN0">0</definedName>
    <definedName name="comptes68746BRN0">0</definedName>
    <definedName name="comptes68746CARN2">0</definedName>
    <definedName name="comptes68746MSNN0">0</definedName>
    <definedName name="comptes68748BEXN0">0</definedName>
    <definedName name="comptes68748BEXN1">0</definedName>
    <definedName name="comptes68748BPPN0">0</definedName>
    <definedName name="comptes68748BPPNAD">0</definedName>
    <definedName name="comptes68748BPPNAVS">0</definedName>
    <definedName name="comptes68748BPPNENC">0</definedName>
    <definedName name="comptes68748BPPNTISF">0</definedName>
    <definedName name="comptes68748BRN0">0</definedName>
    <definedName name="comptes68748CARN2">0</definedName>
    <definedName name="comptes68748MSNN0">0</definedName>
    <definedName name="comptes6874BEXN0">0</definedName>
    <definedName name="comptes6874BEXN1">0</definedName>
    <definedName name="comptes6874BPPN0">0</definedName>
    <definedName name="comptes6874BRN0">0</definedName>
    <definedName name="comptes6874CARN2">0</definedName>
    <definedName name="comptes6874MSNN0">0</definedName>
    <definedName name="comptes6876BEXN0">0</definedName>
    <definedName name="comptes6876BEXN1">0</definedName>
    <definedName name="comptes6876BPPN0">0</definedName>
    <definedName name="comptes6876BRN0">0</definedName>
    <definedName name="comptes6876CARN2">0</definedName>
    <definedName name="comptes6876MSNN0">0</definedName>
    <definedName name="comptes687BEXN0">0</definedName>
    <definedName name="comptes687BEXN1">0</definedName>
    <definedName name="comptes687BPPN0">0</definedName>
    <definedName name="comptes687BPPNAD">0</definedName>
    <definedName name="comptes687BPPNAVS">0</definedName>
    <definedName name="comptes687BPPNENC">0</definedName>
    <definedName name="comptes687BPPNTISF">0</definedName>
    <definedName name="comptes687BRN0">0</definedName>
    <definedName name="comptes687CARN2">0</definedName>
    <definedName name="comptes687MSNN0">0</definedName>
    <definedName name="comptes6894BEXN0">0</definedName>
    <definedName name="comptes6894BEXN1">0</definedName>
    <definedName name="comptes6894BPPN0">0</definedName>
    <definedName name="comptes6894BRN0">0</definedName>
    <definedName name="comptes6894CARN2">0</definedName>
    <definedName name="comptes6894MSNN0">0</definedName>
    <definedName name="comptes6895BEXN0">0</definedName>
    <definedName name="comptes6895BEXN1">0</definedName>
    <definedName name="comptes6895BPPN0">0</definedName>
    <definedName name="comptes6895BRN0">0</definedName>
    <definedName name="comptes6895CARN2">0</definedName>
    <definedName name="comptes6895MSNN0">0</definedName>
    <definedName name="comptes6897BEXN0">0</definedName>
    <definedName name="comptes6897BEXN1">0</definedName>
    <definedName name="comptes6897BPPN0">0</definedName>
    <definedName name="comptes6897BRN0">0</definedName>
    <definedName name="comptes6897CARN2">0</definedName>
    <definedName name="comptes6897MSNN0">0</definedName>
    <definedName name="comptes689BEXN0">0</definedName>
    <definedName name="comptes689BEXN1">0</definedName>
    <definedName name="comptes689BPPN0">0</definedName>
    <definedName name="comptes689BPPNAD">0</definedName>
    <definedName name="comptes689BPPNAVS">0</definedName>
    <definedName name="comptes689BPPNENC">0</definedName>
    <definedName name="comptes689BPPNTISF">0</definedName>
    <definedName name="comptes689BRN0">0</definedName>
    <definedName name="comptes689CARN2">0</definedName>
    <definedName name="comptes689MSNN0">0</definedName>
    <definedName name="comptes70821BEXN0">0</definedName>
    <definedName name="comptes70821BEXN1">0</definedName>
    <definedName name="comptes70821BPPN0">0</definedName>
    <definedName name="comptes70821BRN0">0</definedName>
    <definedName name="comptes70821CARN2">0</definedName>
    <definedName name="comptes70821MSNN0">0</definedName>
    <definedName name="comptes70822BEXN0">0</definedName>
    <definedName name="comptes70822BEXN1">0</definedName>
    <definedName name="comptes70822BPPN0">0</definedName>
    <definedName name="comptes70822BRN0">0</definedName>
    <definedName name="comptes70822CARN2">0</definedName>
    <definedName name="comptes70822MSNN0">0</definedName>
    <definedName name="comptes70823BEXN0">0</definedName>
    <definedName name="comptes70823BEXN1">0</definedName>
    <definedName name="comptes70823BPPN0">0</definedName>
    <definedName name="comptes70823BRN0">0</definedName>
    <definedName name="comptes70823CARN2">0</definedName>
    <definedName name="comptes70823MSNN0">0</definedName>
    <definedName name="comptes70828BEXN0">0</definedName>
    <definedName name="comptes70828BEXN1">0</definedName>
    <definedName name="comptes70828BPPN0">0</definedName>
    <definedName name="comptes70828BRN0">0</definedName>
    <definedName name="comptes70828CARN2">0</definedName>
    <definedName name="comptes70828MSNN0">0</definedName>
    <definedName name="comptes7082BEXN0">0</definedName>
    <definedName name="comptes7082BEXN1">0</definedName>
    <definedName name="comptes7082BPPN0">0</definedName>
    <definedName name="comptes7082BRN0">0</definedName>
    <definedName name="comptes7082CARN2">0</definedName>
    <definedName name="comptes7082MSNN0">0</definedName>
    <definedName name="comptes709DBEXN0">0</definedName>
    <definedName name="comptes709DBEXN1">0</definedName>
    <definedName name="comptes709DBPPN0">0</definedName>
    <definedName name="comptes709DBPPNAD">0</definedName>
    <definedName name="comptes709DBPPNAVS">0</definedName>
    <definedName name="comptes709DBPPNENC">0</definedName>
    <definedName name="comptes709DBPPNTISF">0</definedName>
    <definedName name="comptes709DBRN0">0</definedName>
    <definedName name="comptes709DCARN2">0</definedName>
    <definedName name="comptes709DMSNN0">0</definedName>
    <definedName name="comptes70BEXN0">0</definedName>
    <definedName name="comptes70BEXN1">0</definedName>
    <definedName name="comptes70BPPN0">0</definedName>
    <definedName name="comptes70BPPNAD">0</definedName>
    <definedName name="comptes70BPPNAVS">0</definedName>
    <definedName name="comptes70BPPNENC">0</definedName>
    <definedName name="comptes70BPPNTISF">0</definedName>
    <definedName name="comptes70BRN0">0</definedName>
    <definedName name="comptes70CARN2">0</definedName>
    <definedName name="comptes70MSNN0">0</definedName>
    <definedName name="comptes713DBEXN0">0</definedName>
    <definedName name="comptes713DBEXN1">0</definedName>
    <definedName name="comptes713DBPPN0">0</definedName>
    <definedName name="comptes713DBPPNAD">0</definedName>
    <definedName name="comptes713DBPPNAVS">0</definedName>
    <definedName name="comptes713DBPPNENC">0</definedName>
    <definedName name="comptes713DBPPNTISF">0</definedName>
    <definedName name="comptes713DBRN0">0</definedName>
    <definedName name="comptes713DCARN2">0</definedName>
    <definedName name="comptes713DMSNN0">0</definedName>
    <definedName name="comptes71BEXN0">0</definedName>
    <definedName name="comptes71BEXN1">0</definedName>
    <definedName name="comptes71BPPN0">0</definedName>
    <definedName name="comptes71BPPNAD">0</definedName>
    <definedName name="comptes71BPPNAVS">0</definedName>
    <definedName name="comptes71BPPNENC">0</definedName>
    <definedName name="comptes71BPPNTISF">0</definedName>
    <definedName name="comptes71BRN0">0</definedName>
    <definedName name="comptes71CARN2">0</definedName>
    <definedName name="comptes71MSNN0">0</definedName>
    <definedName name="comptes72BEXN0">0</definedName>
    <definedName name="comptes72BEXN1">0</definedName>
    <definedName name="comptes72BPPN0">0</definedName>
    <definedName name="comptes72BPPNAD">0</definedName>
    <definedName name="comptes72BPPNAVS">0</definedName>
    <definedName name="comptes72BPPNENC">0</definedName>
    <definedName name="comptes72BPPNTISF">0</definedName>
    <definedName name="comptes72BRN0">0</definedName>
    <definedName name="comptes72CARN2">0</definedName>
    <definedName name="comptes72MSNN0">0</definedName>
    <definedName name="comptes730BEXN0">0</definedName>
    <definedName name="comptes730BEXN1">0</definedName>
    <definedName name="comptes730BPPN0">0</definedName>
    <definedName name="comptes730CARN2">0</definedName>
    <definedName name="comptes730MSNN0">0</definedName>
    <definedName name="comptes731BEXN0">0</definedName>
    <definedName name="comptes731BEXN1">0</definedName>
    <definedName name="comptes731BPPN0">0</definedName>
    <definedName name="comptes731BPPNAD">0</definedName>
    <definedName name="comptes731BPPNAVS">0</definedName>
    <definedName name="comptes731BPPNENC">0</definedName>
    <definedName name="comptes731BPPNTISF">0</definedName>
    <definedName name="comptes731BRN0">0</definedName>
    <definedName name="comptes731CARN2">0</definedName>
    <definedName name="comptes731MSNN0">0</definedName>
    <definedName name="comptes732BEXN0">0</definedName>
    <definedName name="comptes732BEXN1">0</definedName>
    <definedName name="comptes732BPPN0">0</definedName>
    <definedName name="comptes732BPPNAD">0</definedName>
    <definedName name="comptes732BPPNAVS">0</definedName>
    <definedName name="comptes732BPPNENC">0</definedName>
    <definedName name="comptes732BPPNTISF">0</definedName>
    <definedName name="comptes732BRN0">0</definedName>
    <definedName name="comptes732CARN2">0</definedName>
    <definedName name="comptes732MSNN0">0</definedName>
    <definedName name="comptes734BEXN0">0</definedName>
    <definedName name="comptes734BEXN1">0</definedName>
    <definedName name="comptes734BPPN0">0</definedName>
    <definedName name="comptes734BPPNAD">0</definedName>
    <definedName name="comptes734BPPNAVS">0</definedName>
    <definedName name="comptes734BPPNENC">0</definedName>
    <definedName name="comptes734BPPNTISF">0</definedName>
    <definedName name="comptes734BRN0">0</definedName>
    <definedName name="comptes734CARN2">0</definedName>
    <definedName name="comptes734MSNN0">0</definedName>
    <definedName name="comptes736BEXN0">0</definedName>
    <definedName name="comptes736BEXN1">0</definedName>
    <definedName name="comptes736BPPN0">0</definedName>
    <definedName name="comptes736BPPNAD">0</definedName>
    <definedName name="comptes736BPPNAVS">0</definedName>
    <definedName name="comptes736BPPNENC">0</definedName>
    <definedName name="comptes736BPPNTISF">0</definedName>
    <definedName name="comptes736BRN0">0</definedName>
    <definedName name="comptes736CARN2">0</definedName>
    <definedName name="comptes736MSNN0">0</definedName>
    <definedName name="comptes737BEXN0">0</definedName>
    <definedName name="comptes737BEXN1">0</definedName>
    <definedName name="comptes737BPPN0">0</definedName>
    <definedName name="comptes737BPPNAD">0</definedName>
    <definedName name="comptes737BPPNAVS">0</definedName>
    <definedName name="comptes737BPPNENC">0</definedName>
    <definedName name="comptes737BPPNTISF">0</definedName>
    <definedName name="comptes737BRN0">0</definedName>
    <definedName name="comptes737CARN2">0</definedName>
    <definedName name="comptes737MSNN0">0</definedName>
    <definedName name="comptes7399BEXN0">0</definedName>
    <definedName name="comptes7399BEXN1">0</definedName>
    <definedName name="comptes7399BPPN0">0</definedName>
    <definedName name="comptes7399BPPNAD">0</definedName>
    <definedName name="comptes7399BPPNAVS">0</definedName>
    <definedName name="comptes7399BPPNENC">0</definedName>
    <definedName name="comptes7399BPPNTISF">0</definedName>
    <definedName name="comptes7399BRN0">0</definedName>
    <definedName name="comptes7399CARN2">0</definedName>
    <definedName name="comptes7399MSNN0">0</definedName>
    <definedName name="comptes74BEXN0">0</definedName>
    <definedName name="comptes74BEXN1">0</definedName>
    <definedName name="comptes74BPPN0">0</definedName>
    <definedName name="comptes74BPPNAD">0</definedName>
    <definedName name="comptes74BPPNAVS">0</definedName>
    <definedName name="comptes74BPPNENC">0</definedName>
    <definedName name="comptes74BPPNTISF">0</definedName>
    <definedName name="comptes74BRN0">0</definedName>
    <definedName name="comptes74CARN2">0</definedName>
    <definedName name="comptes74MSNN0">0</definedName>
    <definedName name="comptes75BEXN0">0</definedName>
    <definedName name="comptes75BEXN1">0</definedName>
    <definedName name="comptes75BPPN0">0</definedName>
    <definedName name="comptes75BPPNAD">0</definedName>
    <definedName name="comptes75BPPNAVS">0</definedName>
    <definedName name="comptes75BPPNENC">0</definedName>
    <definedName name="comptes75BPPNTISF">0</definedName>
    <definedName name="comptes75BRN0">0</definedName>
    <definedName name="comptes75CARN2">0</definedName>
    <definedName name="comptes75MSNN0">0</definedName>
    <definedName name="comptes76BEXN0">0</definedName>
    <definedName name="comptes76BEXN1">0</definedName>
    <definedName name="comptes76BPPN0">0</definedName>
    <definedName name="comptes76BPPNAD">0</definedName>
    <definedName name="comptes76BPPNAVS">0</definedName>
    <definedName name="comptes76BPPNENC">0</definedName>
    <definedName name="comptes76BPPNTISF">0</definedName>
    <definedName name="comptes76BRN0">0</definedName>
    <definedName name="comptes76CARN2">0</definedName>
    <definedName name="comptes76MSNN0">0</definedName>
    <definedName name="comptes770BEXN0">0</definedName>
    <definedName name="comptes770BEXN1">0</definedName>
    <definedName name="comptes770BPPN0">0</definedName>
    <definedName name="comptes770BPPNAD">0</definedName>
    <definedName name="comptes770BPPNAVS">0</definedName>
    <definedName name="comptes770BPPNENC">0</definedName>
    <definedName name="comptes770BPPNTISF">0</definedName>
    <definedName name="comptes770BRN0">0</definedName>
    <definedName name="comptes770CARN2">0</definedName>
    <definedName name="comptes770MSNN0">0</definedName>
    <definedName name="comptes771BEXN0">0</definedName>
    <definedName name="comptes771BEXN1">0</definedName>
    <definedName name="comptes771BPPN0">0</definedName>
    <definedName name="comptes771BPPNAD">0</definedName>
    <definedName name="comptes771BPPNAVS">0</definedName>
    <definedName name="comptes771BPPNENC">0</definedName>
    <definedName name="comptes771BPPNTISF">0</definedName>
    <definedName name="comptes771BRN0">0</definedName>
    <definedName name="comptes771CARN2">0</definedName>
    <definedName name="comptes771MSNN0">0</definedName>
    <definedName name="comptes773BEXN0">0</definedName>
    <definedName name="comptes773BEXN1">0</definedName>
    <definedName name="comptes773BPPN0">0</definedName>
    <definedName name="comptes773BPPNAD">0</definedName>
    <definedName name="comptes773BPPNAVS">0</definedName>
    <definedName name="comptes773BPPNENC">0</definedName>
    <definedName name="comptes773BPPNTISF">0</definedName>
    <definedName name="comptes773BRN0">0</definedName>
    <definedName name="comptes773CARN2">0</definedName>
    <definedName name="comptes773MSNN0">0</definedName>
    <definedName name="comptes775BEXN0">0</definedName>
    <definedName name="comptes775BEXN1">0</definedName>
    <definedName name="comptes775BPPN0">0</definedName>
    <definedName name="comptes775BPPNAD">0</definedName>
    <definedName name="comptes775BPPNAVS">0</definedName>
    <definedName name="comptes775BPPNENC">0</definedName>
    <definedName name="comptes775BPPNTISF">0</definedName>
    <definedName name="comptes775BRN0">0</definedName>
    <definedName name="comptes775CARN2">0</definedName>
    <definedName name="comptes775MSNN0">0</definedName>
    <definedName name="comptes777BEXN0">0</definedName>
    <definedName name="comptes777BEXN1">0</definedName>
    <definedName name="comptes777BPPN0">0</definedName>
    <definedName name="comptes777BPPNAD">0</definedName>
    <definedName name="comptes777BPPNAVS">0</definedName>
    <definedName name="comptes777BPPNENC">0</definedName>
    <definedName name="comptes777BPPNTISF">0</definedName>
    <definedName name="comptes777BRN0">0</definedName>
    <definedName name="comptes777CARN2">0</definedName>
    <definedName name="comptes777MSNN0">0</definedName>
    <definedName name="comptes778BEXN0">0</definedName>
    <definedName name="comptes778BEXN1">0</definedName>
    <definedName name="comptes778BPPN0">0</definedName>
    <definedName name="comptes778BPPNAD">0</definedName>
    <definedName name="comptes778BPPNAVS">0</definedName>
    <definedName name="comptes778BPPNENC">0</definedName>
    <definedName name="comptes778BPPNTISF">0</definedName>
    <definedName name="comptes778BRN0">0</definedName>
    <definedName name="comptes778CARN2">0</definedName>
    <definedName name="comptes778MSNN0">0</definedName>
    <definedName name="comptes781BEXN0">0</definedName>
    <definedName name="comptes781BEXN1">0</definedName>
    <definedName name="comptes781BPPN0">0</definedName>
    <definedName name="comptes781BRN0">0</definedName>
    <definedName name="comptes781CARN2">0</definedName>
    <definedName name="comptes781MSNN0">0</definedName>
    <definedName name="comptes786BEXN0">0</definedName>
    <definedName name="comptes786BEXN1">0</definedName>
    <definedName name="comptes786BPPN0">0</definedName>
    <definedName name="comptes786BRN0">0</definedName>
    <definedName name="comptes786CARN2">0</definedName>
    <definedName name="comptes786MSNN0">0</definedName>
    <definedName name="comptes78725BEXN0">0</definedName>
    <definedName name="comptes78725BEXN1">0</definedName>
    <definedName name="comptes78725BPPN0">0</definedName>
    <definedName name="comptes78725BRN0">0</definedName>
    <definedName name="comptes78725CARN2">0</definedName>
    <definedName name="comptes78725MSNN0">0</definedName>
    <definedName name="comptes7872BEXN0">0</definedName>
    <definedName name="comptes7872BEXN1">0</definedName>
    <definedName name="comptes7872BPPN0">0</definedName>
    <definedName name="comptes7872BRN0">0</definedName>
    <definedName name="comptes7872CARN2">0</definedName>
    <definedName name="comptes7872MSNN0">0</definedName>
    <definedName name="comptes78741BEXN0">0</definedName>
    <definedName name="comptes78741BEXN1">0</definedName>
    <definedName name="comptes78741BPPN0">0</definedName>
    <definedName name="comptes78741BPPNAD">0</definedName>
    <definedName name="comptes78741BPPNAVS">0</definedName>
    <definedName name="comptes78741BPPNENC">0</definedName>
    <definedName name="comptes78741BPPNTISF">0</definedName>
    <definedName name="comptes78741BRN0">0</definedName>
    <definedName name="comptes78741CARN2">0</definedName>
    <definedName name="comptes78741MSNN0">0</definedName>
    <definedName name="comptes78742BEXN0">0</definedName>
    <definedName name="comptes78742BEXN1">0</definedName>
    <definedName name="comptes78742BPPN0">0</definedName>
    <definedName name="comptes78742BRN0">0</definedName>
    <definedName name="comptes78742CARN2">0</definedName>
    <definedName name="comptes78742MSNN0">0</definedName>
    <definedName name="comptes787461BEXN0">0</definedName>
    <definedName name="comptes787461BEXN1">0</definedName>
    <definedName name="comptes787461BPPN0">0</definedName>
    <definedName name="comptes787461BRN0">0</definedName>
    <definedName name="comptes787461CARN2">0</definedName>
    <definedName name="comptes787461MSNN0">0</definedName>
    <definedName name="comptes787462BEXN0">0</definedName>
    <definedName name="comptes787462BEXN1">0</definedName>
    <definedName name="comptes787462BPPN0">0</definedName>
    <definedName name="comptes787462BRN0">0</definedName>
    <definedName name="comptes787462CARN2">0</definedName>
    <definedName name="comptes787462MSNN0">0</definedName>
    <definedName name="comptes78746BEXN0">0</definedName>
    <definedName name="comptes78746BEXN1">0</definedName>
    <definedName name="comptes78746BPPN0">0</definedName>
    <definedName name="comptes78746BPPNAD">0</definedName>
    <definedName name="comptes78746BPPNAVS">0</definedName>
    <definedName name="comptes78746BPPNENC">0</definedName>
    <definedName name="comptes78746BPPNTISF">0</definedName>
    <definedName name="comptes78746BRN0">0</definedName>
    <definedName name="comptes78746CARN2">0</definedName>
    <definedName name="comptes78746MSNN0">0</definedName>
    <definedName name="comptes78748BEXN0">0</definedName>
    <definedName name="comptes78748BEXN1">0</definedName>
    <definedName name="comptes78748BPPN0">0</definedName>
    <definedName name="comptes78748BRN0">0</definedName>
    <definedName name="comptes78748CARN2">0</definedName>
    <definedName name="comptes78748MSNN0">0</definedName>
    <definedName name="comptes7874BEXN0">0</definedName>
    <definedName name="comptes7874BEXN1">0</definedName>
    <definedName name="comptes7874BPPN0">0</definedName>
    <definedName name="comptes7874BRN0">0</definedName>
    <definedName name="comptes7874CARN2">0</definedName>
    <definedName name="comptes7874MSNN0">0</definedName>
    <definedName name="comptes7876BEXN0">0</definedName>
    <definedName name="comptes7876BEXN1">0</definedName>
    <definedName name="comptes7876BPPN0">0</definedName>
    <definedName name="comptes7876BRN0">0</definedName>
    <definedName name="comptes7876CARN2">0</definedName>
    <definedName name="comptes7876MSNN0">0</definedName>
    <definedName name="comptes787BEXN0">0</definedName>
    <definedName name="comptes787BEXN1">0</definedName>
    <definedName name="comptes787BPPN0">0</definedName>
    <definedName name="comptes787BRN0">0</definedName>
    <definedName name="comptes787CARN2">0</definedName>
    <definedName name="comptes787MSNN0">0</definedName>
    <definedName name="comptes789BEXN0">0</definedName>
    <definedName name="comptes789BEXN1">0</definedName>
    <definedName name="comptes789BPPN0">0</definedName>
    <definedName name="comptes789BPPNAD">0</definedName>
    <definedName name="comptes789BPPNAVS">0</definedName>
    <definedName name="comptes789BPPNENC">0</definedName>
    <definedName name="comptes789BPPNTISF">0</definedName>
    <definedName name="comptes789BRN0">0</definedName>
    <definedName name="comptes789CARN2">0</definedName>
    <definedName name="comptes789MSNN0">0</definedName>
    <definedName name="comptes78BEXN0">0</definedName>
    <definedName name="comptes78BEXN1">0</definedName>
    <definedName name="comptes78BPPN0">0</definedName>
    <definedName name="comptes78BPPNAD">0</definedName>
    <definedName name="comptes78BPPNAVS">0</definedName>
    <definedName name="comptes78BPPNENC">0</definedName>
    <definedName name="comptes78BPPNTISF">0</definedName>
    <definedName name="comptes78BRN0">0</definedName>
    <definedName name="comptes78CARN2">0</definedName>
    <definedName name="comptes78MSNN0">0</definedName>
    <definedName name="comptes790BEXN0">0</definedName>
    <definedName name="comptes790BEXN1">0</definedName>
    <definedName name="comptes790BPPN0">0</definedName>
    <definedName name="comptes790CARN2">0</definedName>
    <definedName name="comptes790MSNN0">0</definedName>
    <definedName name="comptes791BEXN0">0</definedName>
    <definedName name="comptes791BEXN1">0</definedName>
    <definedName name="comptes791BPPN0">0</definedName>
    <definedName name="comptes791BRN0">0</definedName>
    <definedName name="comptes791CARN2">0</definedName>
    <definedName name="comptes791MSNN0">0</definedName>
    <definedName name="comptes796BEXN0">0</definedName>
    <definedName name="comptes796BEXN1">0</definedName>
    <definedName name="comptes796BPPN0">0</definedName>
    <definedName name="comptes796BRN0">0</definedName>
    <definedName name="comptes796CARN2">0</definedName>
    <definedName name="comptes796MSNN0">0</definedName>
    <definedName name="comptes797BEXN0">0</definedName>
    <definedName name="comptes797BEXN1">0</definedName>
    <definedName name="comptes797BPPN0">0</definedName>
    <definedName name="comptes797BRN0">0</definedName>
    <definedName name="comptes797CARN2">0</definedName>
    <definedName name="comptes797MSNN0">0</definedName>
    <definedName name="comptes799BEXN0">0</definedName>
    <definedName name="comptes799BEXN1">0</definedName>
    <definedName name="comptes799BPPN0">0</definedName>
    <definedName name="comptes799CARN2">0</definedName>
    <definedName name="comptes799MSNN0">0</definedName>
    <definedName name="comptes79BEXN0">0</definedName>
    <definedName name="comptes79BEXN1">0</definedName>
    <definedName name="comptes79BPPN0">0</definedName>
    <definedName name="comptes79BPPNAD">0</definedName>
    <definedName name="comptes79BPPNAVS">0</definedName>
    <definedName name="comptes79BPPNENC">0</definedName>
    <definedName name="comptes79BPPNTISF">0</definedName>
    <definedName name="comptes79BRN0">0</definedName>
    <definedName name="comptes79CARN2">0</definedName>
    <definedName name="comptes79MSNN0">0</definedName>
    <definedName name="COrgPreteur">" "</definedName>
    <definedName name="COrgPreteur_MN">" "</definedName>
    <definedName name="cpt106820n_CApropose">0</definedName>
    <definedName name="cpt106820n_CAretenu">0</definedName>
    <definedName name="cpt106820nCApropose">0</definedName>
    <definedName name="cpt106820nCAretenu">0</definedName>
    <definedName name="cpt106850n_CApropose">0</definedName>
    <definedName name="cpt106850n_CAretenu">0</definedName>
    <definedName name="cpt106850nCApropose">0</definedName>
    <definedName name="cpt106850nCAretenu">0</definedName>
    <definedName name="cpt106860n_CApropose">0</definedName>
    <definedName name="cpt106860n_CAretenu">0</definedName>
    <definedName name="cpt106860n1">0</definedName>
    <definedName name="cpt106860nCApropose">0</definedName>
    <definedName name="cpt106860nCAretenu">0</definedName>
    <definedName name="cpt106870n1">0</definedName>
    <definedName name="cpt110000n_CApropose">0</definedName>
    <definedName name="cpt110000n_CAretenu">0</definedName>
    <definedName name="cpt110000nCApropose">0</definedName>
    <definedName name="cpt110000nCAretenu">0</definedName>
    <definedName name="cpt111000n_CApropose">0</definedName>
    <definedName name="cpt111000n_CAretenu">0</definedName>
    <definedName name="cpt111000nCApropose">0</definedName>
    <definedName name="cpt111000nCAretenu">0</definedName>
    <definedName name="cpt119000n_CApropose">0</definedName>
    <definedName name="cpt119000n_CAretenu">0</definedName>
    <definedName name="cpt119000nCApropose">0</definedName>
    <definedName name="cpt119000nCAretenu">0</definedName>
    <definedName name="cpt141000n1">0</definedName>
    <definedName name="cpt142000n1">0</definedName>
    <definedName name="cpt145000n1">0</definedName>
    <definedName name="cpt148610n1">0</definedName>
    <definedName name="cpt148620n1">0</definedName>
    <definedName name="cpt151000n1">0</definedName>
    <definedName name="cpt157000n1">0</definedName>
    <definedName name="cpt158000n">0</definedName>
    <definedName name="cpt158000n1">0</definedName>
    <definedName name="cpt193000n1">0</definedName>
    <definedName name="cpt194000n1">0</definedName>
    <definedName name="cpt195000n1">0</definedName>
    <definedName name="cpt197000n1">0</definedName>
    <definedName name="cpt290000n1">0</definedName>
    <definedName name="cpt390000n1">0</definedName>
    <definedName name="cpt490000n1">0</definedName>
    <definedName name="cpt590000n1">0</definedName>
    <definedName name="cpt681200n">0</definedName>
    <definedName name="cpt681500n">0</definedName>
    <definedName name="cpt681600n">0</definedName>
    <definedName name="cpt681730n">0</definedName>
    <definedName name="cpt681740n">0</definedName>
    <definedName name="cpt686000n">0</definedName>
    <definedName name="cpt686600n">0</definedName>
    <definedName name="cpt687250n">0</definedName>
    <definedName name="cpt687410n">0</definedName>
    <definedName name="cpt687420n">0</definedName>
    <definedName name="cpt687461n">0</definedName>
    <definedName name="cpt687462n">0</definedName>
    <definedName name="cpt687480n">0</definedName>
    <definedName name="cpt689300n">0</definedName>
    <definedName name="cpt689400n">0</definedName>
    <definedName name="cpt689500n">0</definedName>
    <definedName name="cpt689700n">0</definedName>
    <definedName name="cpt781200n">0</definedName>
    <definedName name="cpt781500n">0</definedName>
    <definedName name="cpt781600n">0</definedName>
    <definedName name="cpt781730n">0</definedName>
    <definedName name="cpt781740n">0</definedName>
    <definedName name="cpt786600n">0</definedName>
    <definedName name="cpt787410n">0</definedName>
    <definedName name="cpt787420n">0</definedName>
    <definedName name="cpt787461n">0</definedName>
    <definedName name="cpt787462n">0</definedName>
    <definedName name="cpt787480n">0</definedName>
    <definedName name="cpt789300n">0</definedName>
    <definedName name="cpt789400n">0</definedName>
    <definedName name="cpt789500n">0</definedName>
    <definedName name="cpt789700n">0</definedName>
    <definedName name="cptA10686n">0</definedName>
    <definedName name="cptA10687n">0</definedName>
    <definedName name="cptB10686n">0</definedName>
    <definedName name="cptB10687n">0</definedName>
    <definedName name="cptE10686n">0</definedName>
    <definedName name="cptR10686n">0</definedName>
    <definedName name="CR_6815CA">'[2]SE g3 fin'!$K$12</definedName>
    <definedName name="CR_686CA">'[2]SE g3 fin'!$K$15</definedName>
    <definedName name="CR_68741CA">'[2]SE g3 fin'!$K$21</definedName>
    <definedName name="CR_68742CA">'[2]SE g3 fin'!$K$22</definedName>
    <definedName name="CR_68746CA">'[2]SE g3 fin'!$K$23</definedName>
    <definedName name="CR_68748CA">'[2]SE g3 fin'!$K$26</definedName>
    <definedName name="CR_687CA">'[2]SE g3 fin'!$K$16</definedName>
    <definedName name="CR_70821BE">'[2]SE produits'!$F$21</definedName>
    <definedName name="CR_70821CA">'[2]SE produits'!$I$21</definedName>
    <definedName name="CR_70821VCetDM">'[2]SE produits'!$G$21</definedName>
    <definedName name="CR_Activite_ExternatNbPlaceRn">[2]activités!$H$8</definedName>
    <definedName name="CR_Activite_InternatNbPlaceRn">[2]activités!$H$10</definedName>
    <definedName name="CR_Activite_SeanceNbPlaceRn">[2]activités!$H$11</definedName>
    <definedName name="CR_Activite_SemiInternatNbPlaceRn">[2]activités!$H$9</definedName>
    <definedName name="CR_Appoint_TotalRemunAnneeEnCours">[2]euros!$J$32</definedName>
    <definedName name="CR_Appoint_TotalRemunDeAnneePreced">[2]euros!$K$32</definedName>
    <definedName name="CR_BE_DeficitIncorpoMoins2">[2]données!$L$23</definedName>
    <definedName name="CR_BE_ExcedantIncorpoMoins2">[2]données!$L$25</definedName>
    <definedName name="CR_BE_NbrEtpPrevu">[2]données!$L$21</definedName>
    <definedName name="CR_ChargeExploitG1_TotalBn">'[2]SE  G1'!$G$36</definedName>
    <definedName name="CR_ChargeExploitG1_TotalDépensesRn">'[2]SE  G1'!$K$36</definedName>
    <definedName name="CR_ChargeExploitG1_TotalDontCNR">'[2]SE  G1'!$J$36</definedName>
    <definedName name="CR_ChargeExploitG1_TotalVirCreditEtDM">'[2]SE  G1'!$H$36</definedName>
    <definedName name="CR_ChargeExploitG2_TotalBn">'[2]SE G2'!$F$20</definedName>
    <definedName name="CR_ChargeExploitG2_TotalDépensesRn">'[2]SE G2'!$J$20</definedName>
    <definedName name="CR_ChargeExploitG2_TotalDontCNR">'[2]SE G2'!$I$20</definedName>
    <definedName name="CR_ChargeExploitG2_TotalVirCreditEtDM">'[2]SE G2'!$G$20</definedName>
    <definedName name="CR_ChargeExploitG3_TotalBn">'[2]SE g3 fin'!$G$33</definedName>
    <definedName name="CR_ChargeExploitG3_TotalDépensesRn">'[2]SE g3 fin'!$K$33</definedName>
    <definedName name="CR_ChargeExploitG3_TotalDontCNR">'[2]SE g3 fin'!$J$33</definedName>
    <definedName name="CR_ChargeExploitG3_TotalVirCreditEtDM">'[2]SE g3 fin'!$H$33</definedName>
    <definedName name="CR_FINESS_NbPlacesAutorisees">[2]données!$E$31</definedName>
    <definedName name="CR_FINESS_No">[2]données!$E$7</definedName>
    <definedName name="CR_FINESS_Nom">[2]données!$G$7</definedName>
    <definedName name="CR_FINESS_NomGestionnaire">[2]données!$E$15</definedName>
    <definedName name="CR_FINESS_StatutMajoritairePersonnel">[2]données!$E$27</definedName>
    <definedName name="CR_IndicPers_NbTotalAnnuelPointsBn">'[2]indicateurs personnel'!$I$6</definedName>
    <definedName name="CR_IndicPers_NbTotalPointsRn">'[2]indicateurs personnel'!$K$6</definedName>
    <definedName name="CR_IndicPers_NbTotalPointsRn1">'[2]indicateurs personnel'!$H$6</definedName>
    <definedName name="CR_IndicPers_RecettesAttBn">'[2]indicateurs personnel'!$I$16</definedName>
    <definedName name="CR_IndicPers_RecettesAttRn">'[2]indicateurs personnel'!$K$16</definedName>
    <definedName name="CR_IndicPers_RecettesAttRn1">'[2]indicateurs personnel'!$H$16</definedName>
    <definedName name="CR_IndicPers_TotalDepensesBn">'[2]indicateurs personnel'!$I$13</definedName>
    <definedName name="CR_IndicPers_TotalDepensesRn">'[2]indicateurs personnel'!$K$13</definedName>
    <definedName name="CR_IndicPers_TotalDepRn1">'[2]indicateurs personnel'!$H$13</definedName>
    <definedName name="CR_ProduitExploitG1_TotalBn">'[2]SE produits'!$F$15</definedName>
    <definedName name="CR_ProduitExploitG1_TotalDépensesRn">'[2]SE produits'!$I$15</definedName>
    <definedName name="CR_ProduitExploitG1_TotalVirCreditEtDM">'[2]SE produits'!$G$15</definedName>
    <definedName name="CR_ProduitExploitG2_TotalBn">'[2]SE produits'!$F$38</definedName>
    <definedName name="CR_ProduitExploitG2_TotalDépensesRn">'[2]SE produits'!$I$38</definedName>
    <definedName name="CR_ProduitExploitG2_TotalVirCreditEtDM">'[2]SE produits'!$G$38</definedName>
    <definedName name="CR_ProduitExploitG3_TotalBn">[2]SEproduits!$F$27</definedName>
    <definedName name="CR_ProduitExploitG3_TotalDépensesRn">[2]SEproduits!$I$27</definedName>
    <definedName name="CR_ProduitExploitG3_TotalVirCreditEtDM">[2]SEproduits!$G$27</definedName>
    <definedName name="CR10000_BE1">0</definedName>
    <definedName name="CR10000_BP0">0</definedName>
    <definedName name="CR10000_CA2">0</definedName>
    <definedName name="CR102_Budgetexé">0</definedName>
    <definedName name="CR106_Budgetexé">0</definedName>
    <definedName name="CR10682_Budgetexé">0</definedName>
    <definedName name="CR131_Budgetexé">0</definedName>
    <definedName name="CR13100_BE1">0</definedName>
    <definedName name="CR13100_BP0">0</definedName>
    <definedName name="CR13100_CA2">0</definedName>
    <definedName name="CR14000_BE1">0</definedName>
    <definedName name="CR14000_BP0">0</definedName>
    <definedName name="CR14000_CA2">0</definedName>
    <definedName name="CR148_Budgetexé">0</definedName>
    <definedName name="CR14861_Budgetexé">0</definedName>
    <definedName name="CR14862_Budgetexé">0</definedName>
    <definedName name="CR15000_BE1">0</definedName>
    <definedName name="CR15000_BP0">0</definedName>
    <definedName name="CR15000_CA2">0</definedName>
    <definedName name="CR151_Budgetexé">0</definedName>
    <definedName name="CR157_Budgetexé">0</definedName>
    <definedName name="CR158_Budgetexé">0</definedName>
    <definedName name="CR16000_BE1">0</definedName>
    <definedName name="CR16000_BP0">0</definedName>
    <definedName name="CR16000_CA2">0</definedName>
    <definedName name="CR163_Budgetexé">0</definedName>
    <definedName name="CR164_Budgetexé">0</definedName>
    <definedName name="CR165_Budgetexé">0</definedName>
    <definedName name="CR167_Budgetexé">0</definedName>
    <definedName name="CR168_Budgetexé">0</definedName>
    <definedName name="CR169_Budgetexé">0</definedName>
    <definedName name="CR17000_BE1">0</definedName>
    <definedName name="CR17000_BP0">0</definedName>
    <definedName name="CR17000_CA2">0</definedName>
    <definedName name="CR18000_BE1">0</definedName>
    <definedName name="CR18000_BP0">0</definedName>
    <definedName name="CR18000_CA2">0</definedName>
    <definedName name="CR20000_BE1">0</definedName>
    <definedName name="CR20000_BP0">0</definedName>
    <definedName name="CR20000_CA2">0</definedName>
    <definedName name="CR201_Budgetexé">0</definedName>
    <definedName name="CR205_Budgetexé">0</definedName>
    <definedName name="CR208_Budgetexé">0</definedName>
    <definedName name="CR21000_BE1">0</definedName>
    <definedName name="CR21000_BP0">0</definedName>
    <definedName name="CR21000_CA2">0</definedName>
    <definedName name="CR211_Budgetexé">0</definedName>
    <definedName name="CR212_Budgetexé">0</definedName>
    <definedName name="CR213_Budgetexé">0</definedName>
    <definedName name="CR214_Budgetexé">0</definedName>
    <definedName name="CR215_Budgetexé">0</definedName>
    <definedName name="CR216_Budgetexé">0</definedName>
    <definedName name="CR2181_Budgetexé">0</definedName>
    <definedName name="CR2182_Budgetexé">0</definedName>
    <definedName name="CR2183_Budgetexé">0</definedName>
    <definedName name="CR2184_Budgetexé">0</definedName>
    <definedName name="CR2185_Budgetexé">0</definedName>
    <definedName name="CR2188_Budgetexé">0</definedName>
    <definedName name="CR22_Budgetexé">0</definedName>
    <definedName name="CR22000_BE1">0</definedName>
    <definedName name="CR22000_BP0">0</definedName>
    <definedName name="CR22000_CA2">0</definedName>
    <definedName name="CR23000_BE1">0</definedName>
    <definedName name="CR23000_BP0">0</definedName>
    <definedName name="CR23000_CA2">0</definedName>
    <definedName name="CR2312_Budgetexé">0</definedName>
    <definedName name="CR2313_Budgetexé">0</definedName>
    <definedName name="CR2314_Budgetexé">0</definedName>
    <definedName name="CR2315_Budgetexé">0</definedName>
    <definedName name="CR2318_Budgetexé">0</definedName>
    <definedName name="CR238_Budgetexé">0</definedName>
    <definedName name="CR24_Budgetexé">0</definedName>
    <definedName name="CR24000_BE1">0</definedName>
    <definedName name="CR24000_BP0">0</definedName>
    <definedName name="CR24000_CA2">0</definedName>
    <definedName name="CR26_Budgetexé">0</definedName>
    <definedName name="CR26000_BE1">0</definedName>
    <definedName name="CR26000_BP0">0</definedName>
    <definedName name="CR26000_CA2">0</definedName>
    <definedName name="CR27000_BE1">0</definedName>
    <definedName name="CR27000_BP0">0</definedName>
    <definedName name="CR27000_CA2">0</definedName>
    <definedName name="CR271_Budgetexé">0</definedName>
    <definedName name="CR272_Budgetexé">0</definedName>
    <definedName name="CR274_Budgetexé">0</definedName>
    <definedName name="CR275_Budgetexé">0</definedName>
    <definedName name="CR2761_Budgetexé">0</definedName>
    <definedName name="CR2768_Budgetexé">0</definedName>
    <definedName name="CR280_Budgetexé">0</definedName>
    <definedName name="CR28000_BE1">0</definedName>
    <definedName name="CR28000_BP0">0</definedName>
    <definedName name="CR28000_CA2">0</definedName>
    <definedName name="CR2811_Budgetexé">0</definedName>
    <definedName name="CR2812_Budgetexé">0</definedName>
    <definedName name="CR2813_Budgetexé">0</definedName>
    <definedName name="CR2814_Budgetexé">0</definedName>
    <definedName name="CR2815_Budgetexé">0</definedName>
    <definedName name="CR2817_Budgetexé">0</definedName>
    <definedName name="CR2818_Budgetexé">0</definedName>
    <definedName name="CR29000_BE1">0</definedName>
    <definedName name="CR29000_BP0">0</definedName>
    <definedName name="CR29000_CA2">0</definedName>
    <definedName name="CR291_Budgetexé">0</definedName>
    <definedName name="CR293_Budgetexé">0</definedName>
    <definedName name="CR296_Budgetexé">0</definedName>
    <definedName name="CR297_Budgetexé">0</definedName>
    <definedName name="CR39_Budgetexé">0</definedName>
    <definedName name="CR39000_BE1">0</definedName>
    <definedName name="CR39000_BP0">0</definedName>
    <definedName name="CR39000_CA2">0</definedName>
    <definedName name="CR481_Budgetexé">0</definedName>
    <definedName name="CR48100_BE1">0</definedName>
    <definedName name="CR48100_BP0">0</definedName>
    <definedName name="CR48100_CA2">0</definedName>
    <definedName name="CR49_Budgetexé">0</definedName>
    <definedName name="CR49000_BE1">0</definedName>
    <definedName name="CR49000_BP0">0</definedName>
    <definedName name="CR49000_CA2">0</definedName>
    <definedName name="CR59_Budgetexé">0</definedName>
    <definedName name="CR59000_BE1">0</definedName>
    <definedName name="CR59000_BP0">0</definedName>
    <definedName name="CR59000_CA2">0</definedName>
    <definedName name="CTaux">0</definedName>
    <definedName name="CTaux_MN">0</definedName>
    <definedName name="DateRea_01">" "</definedName>
    <definedName name="DateRea_02">" "</definedName>
    <definedName name="DateRea_03">" "</definedName>
    <definedName name="DateRea_04">" "</definedName>
    <definedName name="DateRea_05">" "</definedName>
    <definedName name="DateRea_06">" "</definedName>
    <definedName name="DateRea_07">" "</definedName>
    <definedName name="DateRea_08">" "</definedName>
    <definedName name="DateRea_09">" "</definedName>
    <definedName name="DateRea_10">" "</definedName>
    <definedName name="DateRea_11">" "</definedName>
    <definedName name="DateRea_12">" "</definedName>
    <definedName name="DateRea_13">" "</definedName>
    <definedName name="DateRea_14">" "</definedName>
    <definedName name="DateRea_15">" "</definedName>
    <definedName name="DateRea_16">" "</definedName>
    <definedName name="DateRea_17">" "</definedName>
    <definedName name="DateRea_18">" "</definedName>
    <definedName name="DateRea_19">" "</definedName>
    <definedName name="DateRea_20">" "</definedName>
    <definedName name="DCapDuAnneePrec">0</definedName>
    <definedName name="DCapDuAnneePrec_MN">0</definedName>
    <definedName name="DCapVerseN">0</definedName>
    <definedName name="DCapVerseN_MN">0</definedName>
    <definedName name="DDateDebut">" "</definedName>
    <definedName name="DDateDebut_MN">" "</definedName>
    <definedName name="DDurée">0</definedName>
    <definedName name="DDurée_MN">0</definedName>
    <definedName name="DEFIC_ca_propose_0_DÉPENDANCE">0</definedName>
    <definedName name="DEFIC_ca_propose_0_GLOBAL">0</definedName>
    <definedName name="DEFIC_ca_propose_0_HÉBERGEMENT">0</definedName>
    <definedName name="DEFIC_ca_propose_0_SOINS">0</definedName>
    <definedName name="DEFIC_ca_retenu_0_DÉPENDANCE">0</definedName>
    <definedName name="DEFIC_ca_retenu_0_GLOBAL">0</definedName>
    <definedName name="DEFIC_ca_retenu_0_HÉBERGEMENT">0</definedName>
    <definedName name="DEFIC_ca_retenu_0_SOINS">0</definedName>
    <definedName name="DeficBEXN0">0</definedName>
    <definedName name="DeficBEXN1">0</definedName>
    <definedName name="DEFICBP">0</definedName>
    <definedName name="DeficBPPN0">0</definedName>
    <definedName name="DeficBPPNAD">0</definedName>
    <definedName name="DeficBPPNAVS">0</definedName>
    <definedName name="DeficBPPNENC">0</definedName>
    <definedName name="DeficBPPNTISF">0</definedName>
    <definedName name="DEFICBR">0</definedName>
    <definedName name="DeficBRN0">0</definedName>
    <definedName name="DeficCARN2">0</definedName>
    <definedName name="deficite_CApropose">0</definedName>
    <definedName name="deficite_CAretenu">0</definedName>
    <definedName name="deficiteCApropose">0</definedName>
    <definedName name="deficiteCAretenu">0</definedName>
    <definedName name="deficiteincoporablenpropose">0</definedName>
    <definedName name="deficiteincorporablenretenu">0</definedName>
    <definedName name="deficitepropose">0</definedName>
    <definedName name="deficiteretenu">0</definedName>
    <definedName name="DeficMSNN0">0</definedName>
    <definedName name="depences_refusees_CApropose">0</definedName>
    <definedName name="depences_refusees_CAretenu">0</definedName>
    <definedName name="depencesrefuseesCApropose">0</definedName>
    <definedName name="depencesrefuseesCAretenu">0</definedName>
    <definedName name="DesignationBien01">" "</definedName>
    <definedName name="DesignationBien02">" "</definedName>
    <definedName name="DesignationBien03">" "</definedName>
    <definedName name="DesignationBien04">" "</definedName>
    <definedName name="DesignationBien05">" "</definedName>
    <definedName name="DesignationBien06">" "</definedName>
    <definedName name="DesignationBien07">" "</definedName>
    <definedName name="DesignationBien08">" "</definedName>
    <definedName name="DesignationBien09">" "</definedName>
    <definedName name="DesignationBien10">" "</definedName>
    <definedName name="DesignationBien11">" "</definedName>
    <definedName name="DesignationBien12">" "</definedName>
    <definedName name="DesignationBien13">" "</definedName>
    <definedName name="DesignationBien14">" "</definedName>
    <definedName name="DesignationBien15">" "</definedName>
    <definedName name="DesignationBien16">" "</definedName>
    <definedName name="DesignationBien17">" "</definedName>
    <definedName name="DesignationBien18">" "</definedName>
    <definedName name="DesignationBien19">" "</definedName>
    <definedName name="DesignationBien20">" "</definedName>
    <definedName name="DIMBFR">0</definedName>
    <definedName name="DIMBFRSimNP1">0</definedName>
    <definedName name="DIMBFRSimNP2">0</definedName>
    <definedName name="DIMBFRSimNP3">0</definedName>
    <definedName name="DIMBFRSimNP4">0</definedName>
    <definedName name="DIMBFRSimNP5">0</definedName>
    <definedName name="DInteretDusAnneePrec">0</definedName>
    <definedName name="DInteretDusAnneePrec_MN">0</definedName>
    <definedName name="DIntVerseN">0</definedName>
    <definedName name="DIntVerseN_MN">0</definedName>
    <definedName name="Dm1CE10000">0</definedName>
    <definedName name="Dm1CE10200">0</definedName>
    <definedName name="Dm1CE10230">0</definedName>
    <definedName name="Dm1CE10600">0</definedName>
    <definedName name="Dm1CE10686">0</definedName>
    <definedName name="Dm1CE13900">0</definedName>
    <definedName name="Dm1CE14000">0</definedName>
    <definedName name="Dm1CE14800">0</definedName>
    <definedName name="Dm1CE14861">0</definedName>
    <definedName name="Dm1CE14862">0</definedName>
    <definedName name="Dm1CE15000">0</definedName>
    <definedName name="Dm1CE15100">0</definedName>
    <definedName name="Dm1CE15700">0</definedName>
    <definedName name="Dm1CE15800">0</definedName>
    <definedName name="Dm1CE16000">0</definedName>
    <definedName name="Dm1CE16300">0</definedName>
    <definedName name="Dm1CE16400">0</definedName>
    <definedName name="Dm1CE16500">0</definedName>
    <definedName name="Dm1CE16700">0</definedName>
    <definedName name="Dm1CE16800">0</definedName>
    <definedName name="Dm1CE16900">0</definedName>
    <definedName name="Dm1CE18000">0</definedName>
    <definedName name="Dm1CE20000">0</definedName>
    <definedName name="Dm1CE20100">0</definedName>
    <definedName name="Dm1CE20300">0</definedName>
    <definedName name="Dm1CE20500">0</definedName>
    <definedName name="Dm1CE20800">0</definedName>
    <definedName name="Dm1CE21000">0</definedName>
    <definedName name="Dm1CE21100">0</definedName>
    <definedName name="Dm1CE21200">0</definedName>
    <definedName name="Dm1CE21300">0</definedName>
    <definedName name="Dm1CE21400">0</definedName>
    <definedName name="Dm1CE21500">0</definedName>
    <definedName name="Dm1CE21600">0</definedName>
    <definedName name="Dm1CE21810">0</definedName>
    <definedName name="Dm1CE21820">0</definedName>
    <definedName name="Dm1CE21830">0</definedName>
    <definedName name="Dm1CE21840">0</definedName>
    <definedName name="Dm1CE21850">0</definedName>
    <definedName name="Dm1CE21880">0</definedName>
    <definedName name="Dm1CE22000">0</definedName>
    <definedName name="Dm1CE23000">0</definedName>
    <definedName name="Dm1CE23120">0</definedName>
    <definedName name="Dm1CE23130">0</definedName>
    <definedName name="Dm1CE23140">0</definedName>
    <definedName name="Dm1CE23150">0</definedName>
    <definedName name="Dm1CE23180">0</definedName>
    <definedName name="Dm1CE23800">0</definedName>
    <definedName name="Dm1CE24000">0</definedName>
    <definedName name="Dm1CE26000">0</definedName>
    <definedName name="Dm1CE27000">0</definedName>
    <definedName name="Dm1CE27100">0</definedName>
    <definedName name="Dm1CE27200">0</definedName>
    <definedName name="Dm1CE27400">0</definedName>
    <definedName name="Dm1CE27500">0</definedName>
    <definedName name="Dm1CE27610">0</definedName>
    <definedName name="Dm1CE27680">0</definedName>
    <definedName name="Dm1CE28000">0</definedName>
    <definedName name="Dm1CE28110">0</definedName>
    <definedName name="Dm1CE28120">0</definedName>
    <definedName name="Dm1CE28130">0</definedName>
    <definedName name="Dm1CE28140">0</definedName>
    <definedName name="Dm1CE28150">0</definedName>
    <definedName name="Dm1CE28180">0</definedName>
    <definedName name="Dm1CE29000">0</definedName>
    <definedName name="Dm1CE29300">0</definedName>
    <definedName name="Dm1CE29700">0</definedName>
    <definedName name="Dm1CE39000">0</definedName>
    <definedName name="Dm1CE48100">0</definedName>
    <definedName name="Dm1CE49000">0</definedName>
    <definedName name="Dm1CE59000">0</definedName>
    <definedName name="Dm1CR102_Budgetret">0</definedName>
    <definedName name="Dm1CR106_Budgetret">0</definedName>
    <definedName name="Dm1CR10682_Budgetret">0</definedName>
    <definedName name="Dm1CR131_Budgetret">0</definedName>
    <definedName name="Dm1CR148_Budgetret">0</definedName>
    <definedName name="Dm1CR14861_Budgetret">0</definedName>
    <definedName name="Dm1CR14862_Budgetret">0</definedName>
    <definedName name="Dm1CR151_Budgetret">0</definedName>
    <definedName name="Dm1CR157_Budgetret">0</definedName>
    <definedName name="Dm1CR158_Budgetret">0</definedName>
    <definedName name="Dm1CR163_Budgetret">0</definedName>
    <definedName name="Dm1CR164_Budgetret">0</definedName>
    <definedName name="Dm1CR165_Budgetret">0</definedName>
    <definedName name="Dm1CR167_Budgetret">0</definedName>
    <definedName name="Dm1CR168_Budgetret">0</definedName>
    <definedName name="Dm1CR169_Budgetret">0</definedName>
    <definedName name="Dm1CR201_Budgetret">0</definedName>
    <definedName name="Dm1CR205_Budgetret">0</definedName>
    <definedName name="Dm1CR208_Budgetret">0</definedName>
    <definedName name="Dm1CR211_Budgetret">0</definedName>
    <definedName name="Dm1CR212_Budgetret">0</definedName>
    <definedName name="Dm1CR213_Budgetret">0</definedName>
    <definedName name="Dm1CR214_Budgetret">0</definedName>
    <definedName name="Dm1CR215_Budgetret">0</definedName>
    <definedName name="Dm1CR216_Budgetret">0</definedName>
    <definedName name="Dm1CR2181_Budgetret">0</definedName>
    <definedName name="Dm1CR2182_Budgetret">0</definedName>
    <definedName name="Dm1CR2183_Budgetret">0</definedName>
    <definedName name="Dm1CR2184_Budgetret">0</definedName>
    <definedName name="Dm1CR2185_Budgetret">0</definedName>
    <definedName name="Dm1CR2188_Budgetret">0</definedName>
    <definedName name="Dm1CR22_Budgetret">0</definedName>
    <definedName name="Dm1CR2312_Budgetret">0</definedName>
    <definedName name="Dm1CR2313_Budgetret">0</definedName>
    <definedName name="Dm1CR2314_Budgetret">0</definedName>
    <definedName name="Dm1CR2315_Budgetret">0</definedName>
    <definedName name="Dm1CR2318_Budgetret">0</definedName>
    <definedName name="Dm1CR238_Budgetret">0</definedName>
    <definedName name="Dm1CR24_Budgetret">0</definedName>
    <definedName name="Dm1CR26_Budgetret">0</definedName>
    <definedName name="Dm1CR271_Budgetret">0</definedName>
    <definedName name="Dm1CR272_Budgetret">0</definedName>
    <definedName name="Dm1CR274_Budgetret">0</definedName>
    <definedName name="Dm1CR275_Budgetret">0</definedName>
    <definedName name="Dm1CR2761_Budgetret">0</definedName>
    <definedName name="Dm1CR2768_Budgetret">0</definedName>
    <definedName name="Dm1CR280_Budgetret">0</definedName>
    <definedName name="Dm1CR2811_Budgetret">0</definedName>
    <definedName name="Dm1CR2812_Budgetret">0</definedName>
    <definedName name="Dm1CR2813_Budgetret">0</definedName>
    <definedName name="Dm1CR2814_Budgetret">0</definedName>
    <definedName name="Dm1CR2815_Budgetret">0</definedName>
    <definedName name="Dm1CR2817_Budgetret">0</definedName>
    <definedName name="Dm1CR2818_Budgetret">0</definedName>
    <definedName name="Dm1CR291_Budgetret">0</definedName>
    <definedName name="Dm1CR293_Budgetret">0</definedName>
    <definedName name="Dm1CR296_Budgetret">0</definedName>
    <definedName name="Dm1CR297_Budgetret">0</definedName>
    <definedName name="Dm1CR39_Budgetret">0</definedName>
    <definedName name="Dm1CR481_Budgetret">0</definedName>
    <definedName name="Dm1CR49_Budgetret">0</definedName>
    <definedName name="Dm1CR59_Budgetret">0</definedName>
    <definedName name="Dm1EMPE10">0</definedName>
    <definedName name="Dm1EMPE13">0</definedName>
    <definedName name="Dm1EMPE14">0</definedName>
    <definedName name="Dm1EMPE15">0</definedName>
    <definedName name="Dm1EMPE16">0</definedName>
    <definedName name="Dm1EMPE17">0</definedName>
    <definedName name="Dm1EMPE18">0</definedName>
    <definedName name="Dm1EMPE20">0</definedName>
    <definedName name="Dm1EMPE21">0</definedName>
    <definedName name="Dm1EMPE22">0</definedName>
    <definedName name="Dm1EMPE23">0</definedName>
    <definedName name="Dm1EMPE24">0</definedName>
    <definedName name="Dm1EMPE26">0</definedName>
    <definedName name="Dm1EMPE27">0</definedName>
    <definedName name="Dm1EMPE28">0</definedName>
    <definedName name="Dm1EMPE29">0</definedName>
    <definedName name="Dm1EMPE39">0</definedName>
    <definedName name="Dm1EMPE48">0</definedName>
    <definedName name="Dm1EMPE49">0</definedName>
    <definedName name="Dm1EMPE59">0</definedName>
    <definedName name="Dm1F603C">0</definedName>
    <definedName name="Dm1F603P">0</definedName>
    <definedName name="Dm1F609">0</definedName>
    <definedName name="Dm1F609P">0</definedName>
    <definedName name="Dm1F619">0</definedName>
    <definedName name="Dm1F619P">0</definedName>
    <definedName name="Dm1F629">0</definedName>
    <definedName name="Dm1F629P">0</definedName>
    <definedName name="Dm1F6419">0</definedName>
    <definedName name="Dm1F6419P">0</definedName>
    <definedName name="Dm1F6429">0</definedName>
    <definedName name="Dm1F6429P">0</definedName>
    <definedName name="Dm1F6489">0</definedName>
    <definedName name="Dm1F6489P">0</definedName>
    <definedName name="Dm1F6611C">0</definedName>
    <definedName name="Dm1F6611P">0</definedName>
    <definedName name="Dm1F70">0</definedName>
    <definedName name="Dm1F71">0</definedName>
    <definedName name="Dm1F72">0</definedName>
    <definedName name="Dm1F731">0</definedName>
    <definedName name="Dm1F732">0</definedName>
    <definedName name="Dm1F734">0</definedName>
    <definedName name="Dm1F736">0</definedName>
    <definedName name="Dm1F737">0</definedName>
    <definedName name="Dm1F74">0</definedName>
    <definedName name="Dm1F75">0</definedName>
    <definedName name="Dm1F76">0</definedName>
    <definedName name="Dm1F771">0</definedName>
    <definedName name="Dm1F773">0</definedName>
    <definedName name="Dm1F775">0</definedName>
    <definedName name="Dm1F777">0</definedName>
    <definedName name="Dm1F778">0</definedName>
    <definedName name="Dm1F78">0</definedName>
    <definedName name="Dm1F78725">0</definedName>
    <definedName name="Dm1F78741">0</definedName>
    <definedName name="Dm1F78742">0</definedName>
    <definedName name="Dm1F78746">0</definedName>
    <definedName name="Dm1F789">0</definedName>
    <definedName name="Dm1F79">0</definedName>
    <definedName name="Dm1NF601">0</definedName>
    <definedName name="Dm1NF602">0</definedName>
    <definedName name="Dm1NF603D">0</definedName>
    <definedName name="Dm1NF606">0</definedName>
    <definedName name="Dm1NF607">0</definedName>
    <definedName name="Dm1NF609D">0</definedName>
    <definedName name="Dm1NF610">0</definedName>
    <definedName name="Dm1NF6110">0</definedName>
    <definedName name="Dm1NF6111">0</definedName>
    <definedName name="Dm1NF6112">0</definedName>
    <definedName name="Dm1NF6118">0</definedName>
    <definedName name="Dm1NF612">0</definedName>
    <definedName name="Dm1NF6130">0</definedName>
    <definedName name="Dm1NF6132">0</definedName>
    <definedName name="Dm1NF6135">0</definedName>
    <definedName name="Dm1NF614">0</definedName>
    <definedName name="Dm1NF6150">0</definedName>
    <definedName name="Dm1NF6152">0</definedName>
    <definedName name="Dm1NF6155">0</definedName>
    <definedName name="Dm1NF6156">0</definedName>
    <definedName name="Dm1NF616">0</definedName>
    <definedName name="Dm1NF617">0</definedName>
    <definedName name="Dm1NF618">0</definedName>
    <definedName name="Dm1NF619D">0</definedName>
    <definedName name="Dm1NF621">0</definedName>
    <definedName name="Dm1NF622">0</definedName>
    <definedName name="Dm1NF623">0</definedName>
    <definedName name="Dm1NF6240">0</definedName>
    <definedName name="Dm1NF6241">0</definedName>
    <definedName name="Dm1NF6242">0</definedName>
    <definedName name="Dm1NF6247">0</definedName>
    <definedName name="Dm1NF6248">0</definedName>
    <definedName name="Dm1NF625">0</definedName>
    <definedName name="Dm1NF626">0</definedName>
    <definedName name="Dm1NF627">0</definedName>
    <definedName name="Dm1NF6280">0</definedName>
    <definedName name="Dm1NF6281">0</definedName>
    <definedName name="Dm1NF6282">0</definedName>
    <definedName name="Dm1NF6283">0</definedName>
    <definedName name="Dm1NF6284">0</definedName>
    <definedName name="Dm1NF6287">0</definedName>
    <definedName name="Dm1NF6288">0</definedName>
    <definedName name="Dm1NF6289">0</definedName>
    <definedName name="Dm1NF629">0</definedName>
    <definedName name="Dm1NF631">0</definedName>
    <definedName name="Dm1NF633">0</definedName>
    <definedName name="Dm1NF635">0</definedName>
    <definedName name="Dm1NF637">0</definedName>
    <definedName name="Dm1NF640">0</definedName>
    <definedName name="Dm1NF641">0</definedName>
    <definedName name="Dm1NF6419P">0</definedName>
    <definedName name="Dm1NF642">0</definedName>
    <definedName name="Dm1NF6429P">0</definedName>
    <definedName name="Dm1NF643">0</definedName>
    <definedName name="Dm1NF645">0</definedName>
    <definedName name="Dm1NF646">0</definedName>
    <definedName name="Dm1NF647">0</definedName>
    <definedName name="Dm1NF648">0</definedName>
    <definedName name="Dm1NF6489P">0</definedName>
    <definedName name="Dm1NF6499">0</definedName>
    <definedName name="Dm1NF650">0</definedName>
    <definedName name="Dm1NF651">0</definedName>
    <definedName name="Dm1NF654">0</definedName>
    <definedName name="Dm1NF655">0</definedName>
    <definedName name="Dm1NF657">0</definedName>
    <definedName name="Dm1NF658">0</definedName>
    <definedName name="Dm1NF66">0</definedName>
    <definedName name="Dm1NF670">0</definedName>
    <definedName name="Dm1NF671">0</definedName>
    <definedName name="Dm1NF675">0</definedName>
    <definedName name="Dm1NF678">0</definedName>
    <definedName name="Dm1NF680">0</definedName>
    <definedName name="Dm1NF6811">0</definedName>
    <definedName name="Dm1NF6812">0</definedName>
    <definedName name="Dm1NF6815">0</definedName>
    <definedName name="Dm1NF6816">0</definedName>
    <definedName name="Dm1NF6817">0</definedName>
    <definedName name="Dm1NF686">0</definedName>
    <definedName name="Dm1NF687">0</definedName>
    <definedName name="Dm1NF6870">0</definedName>
    <definedName name="Dm1NF6871">0</definedName>
    <definedName name="Dm1NF6872">0</definedName>
    <definedName name="Dm1NF68720">0</definedName>
    <definedName name="Dm1NF68725">0</definedName>
    <definedName name="Dm1NF6874">0</definedName>
    <definedName name="Dm1NF68740">0</definedName>
    <definedName name="Dm1NF68741">0</definedName>
    <definedName name="Dm1NF68742">0</definedName>
    <definedName name="Dm1NF68746">0</definedName>
    <definedName name="Dm1NF687461">0</definedName>
    <definedName name="Dm1NF687462">0</definedName>
    <definedName name="Dm1NF68748">0</definedName>
    <definedName name="Dm1NF6876">0</definedName>
    <definedName name="Dm1NF689">0</definedName>
    <definedName name="Dm1NF6894">0</definedName>
    <definedName name="Dm1NF6895">0</definedName>
    <definedName name="Dm1NF6897">0</definedName>
    <definedName name="Dm1NF7082">0</definedName>
    <definedName name="Dm1NF70821">0</definedName>
    <definedName name="Dm1NF70822">0</definedName>
    <definedName name="Dm1NF70823">0</definedName>
    <definedName name="Dm1NF70828">0</definedName>
    <definedName name="Dm1NF709D">0</definedName>
    <definedName name="Dm1NF709D_1">0</definedName>
    <definedName name="Dm1NF713D">0</definedName>
    <definedName name="Dm1NF713D_1">0</definedName>
    <definedName name="Dm1NF73">0</definedName>
    <definedName name="Dm1NF737">0</definedName>
    <definedName name="Dm1NF7399">0</definedName>
    <definedName name="Dm1NF770">0</definedName>
    <definedName name="Dm1NF78725">0</definedName>
    <definedName name="Dm1NF78742">0</definedName>
    <definedName name="Dm1NFS673">0</definedName>
    <definedName name="Dm1RESSR10">0</definedName>
    <definedName name="Dm1RESSR13">0</definedName>
    <definedName name="Dm1RESSR14">0</definedName>
    <definedName name="Dm1RESSR15">0</definedName>
    <definedName name="Dm1RESSR16">0</definedName>
    <definedName name="Dm1RESSR17">0</definedName>
    <definedName name="Dm1RESSR18">0</definedName>
    <definedName name="Dm1RESSR20">0</definedName>
    <definedName name="Dm1RESSR21">0</definedName>
    <definedName name="Dm1RESSR22">0</definedName>
    <definedName name="Dm1RESSR23">0</definedName>
    <definedName name="Dm1RESSR24">0</definedName>
    <definedName name="Dm1RESSR26">0</definedName>
    <definedName name="Dm1RESSR27">0</definedName>
    <definedName name="Dm1RESSR28">0</definedName>
    <definedName name="Dm1RESSR29">0</definedName>
    <definedName name="Dm1RESSR39">0</definedName>
    <definedName name="Dm1RESSR48">0</definedName>
    <definedName name="Dm1RESSR49">0</definedName>
    <definedName name="Dm1RESSR59">0</definedName>
    <definedName name="DMontant">0</definedName>
    <definedName name="DMontant_MN">0</definedName>
    <definedName name="DOrgPreteur">" "</definedName>
    <definedName name="DOrgPreteur_MN">" "</definedName>
    <definedName name="DTaux">0</definedName>
    <definedName name="DTaux_MN">0</definedName>
    <definedName name="DureeAmort_01">0</definedName>
    <definedName name="DureeAmort_02">0</definedName>
    <definedName name="DureeAmort_03">0</definedName>
    <definedName name="DureeAmort_04">0</definedName>
    <definedName name="DureeAmort_05">0</definedName>
    <definedName name="DureeAmort_06">0</definedName>
    <definedName name="DureeAmort_07">0</definedName>
    <definedName name="DureeAmort_08">0</definedName>
    <definedName name="DureeAmort_09">0</definedName>
    <definedName name="DureeAmort_10">0</definedName>
    <definedName name="DureeAmort_11">0</definedName>
    <definedName name="DureeAmort_12">0</definedName>
    <definedName name="DureeAmort_13">0</definedName>
    <definedName name="DureeAmort_14">0</definedName>
    <definedName name="DureeAmort_15">0</definedName>
    <definedName name="DureeAmort_16">0</definedName>
    <definedName name="DureeAmort_17">0</definedName>
    <definedName name="DureeAmort_18">0</definedName>
    <definedName name="DureeAmort_19">0</definedName>
    <definedName name="DureeAmort_20">0</definedName>
    <definedName name="E_CodeSection">" "</definedName>
    <definedName name="ECapDuAnneePrec">0</definedName>
    <definedName name="ECapDuAnneePrec_MN">0</definedName>
    <definedName name="ECapVerseN">0</definedName>
    <definedName name="ECapVerseN_MN">0</definedName>
    <definedName name="EDateDebut">" "</definedName>
    <definedName name="EDateDebut_MN">" "</definedName>
    <definedName name="EDurée">0</definedName>
    <definedName name="EDurée_MN">0</definedName>
    <definedName name="EEta_CodeEtab">" "</definedName>
    <definedName name="EInteretDusAnneePrec">0</definedName>
    <definedName name="EInteretDusAnneePrec_MN">0</definedName>
    <definedName name="EIntVerseN">0</definedName>
    <definedName name="EIntVerseN_MN">0</definedName>
    <definedName name="EINVRESCR_BE1">0</definedName>
    <definedName name="EINVRESCR_BP0">0</definedName>
    <definedName name="EINVRESCR_CA2">0</definedName>
    <definedName name="EINVRESEXE_BE1">0</definedName>
    <definedName name="EINVRESEXE_BP0">0</definedName>
    <definedName name="EINVRESEXE_CA2">0</definedName>
    <definedName name="EMontant">0</definedName>
    <definedName name="EMontant_MN">0</definedName>
    <definedName name="EmpAntN">0</definedName>
    <definedName name="EmpAntN_MN">0</definedName>
    <definedName name="EmpAntN1">0</definedName>
    <definedName name="EmpAntN2">0</definedName>
    <definedName name="EmpAntN3">0</definedName>
    <definedName name="EmpAntN4">0</definedName>
    <definedName name="EMPE10BudRet">0</definedName>
    <definedName name="EMPE10CAP">0</definedName>
    <definedName name="EMPE13BudRet">0</definedName>
    <definedName name="EMPE13CAP">0</definedName>
    <definedName name="EMPE14BudRet">0</definedName>
    <definedName name="EMPE14CAP">0</definedName>
    <definedName name="EMPE15BudRet">0</definedName>
    <definedName name="EMPE15CAP">0</definedName>
    <definedName name="EMPE16BudRet">0</definedName>
    <definedName name="EMPE16CAP">0</definedName>
    <definedName name="EMPE17BudRet">0</definedName>
    <definedName name="EMPE17CAP">0</definedName>
    <definedName name="EMPE18BudRet">0</definedName>
    <definedName name="EMPE18CAP">0</definedName>
    <definedName name="EMPE20BudRet">0</definedName>
    <definedName name="EMPE20CAP">0</definedName>
    <definedName name="EMPE21BudRet">0</definedName>
    <definedName name="EMPE21CAP">0</definedName>
    <definedName name="EMPE22BudRet">0</definedName>
    <definedName name="EMPE22CAP">0</definedName>
    <definedName name="EMPE23BudRet">0</definedName>
    <definedName name="EMPE23CAP">0</definedName>
    <definedName name="EMPE24BudRet">0</definedName>
    <definedName name="EMPE24CAP">0</definedName>
    <definedName name="EMPE26BudRet">0</definedName>
    <definedName name="EMPE26CAP">0</definedName>
    <definedName name="EMPE27BudRet">0</definedName>
    <definedName name="EMPE27CAP">0</definedName>
    <definedName name="EMPE28BudRet">0</definedName>
    <definedName name="EMPE28CAP">0</definedName>
    <definedName name="EMPE29BudRet">0</definedName>
    <definedName name="EMPE29CAP">0</definedName>
    <definedName name="EMPE39BudRet">0</definedName>
    <definedName name="EMPE39CAP">0</definedName>
    <definedName name="EMPE48BudRet">0</definedName>
    <definedName name="EMPE48CAP">0</definedName>
    <definedName name="EMPE49BudRet">0</definedName>
    <definedName name="EMPE49CAP">0</definedName>
    <definedName name="EMPE59BudRet">0</definedName>
    <definedName name="EMPE59CAP">0</definedName>
    <definedName name="EMPEINVRESCR_BudRet">0</definedName>
    <definedName name="EMPEINVRESCR_CAP">0</definedName>
    <definedName name="EMPEINVRESCR_Dim1">0</definedName>
    <definedName name="EMPEINVRESEXE_BudRet">0</definedName>
    <definedName name="EMPEINVRESEXE_CAP">0</definedName>
    <definedName name="EMPEINVRESEXE_Dim1">0</definedName>
    <definedName name="EMPL">0</definedName>
    <definedName name="EMPLSimNP1">0</definedName>
    <definedName name="EMPLSimNP2">0</definedName>
    <definedName name="EMPLSimNP3">0</definedName>
    <definedName name="EMPLSimNP4">0</definedName>
    <definedName name="EMPLSimNP5">0</definedName>
    <definedName name="EmpNouvN">0</definedName>
    <definedName name="EmpNouvN1">0</definedName>
    <definedName name="EmpNouvN2">0</definedName>
    <definedName name="EmpNouvN3">0</definedName>
    <definedName name="EmpNouvN4">0</definedName>
    <definedName name="EmpPreced">0</definedName>
    <definedName name="EMPREPORTRESR_BR">0</definedName>
    <definedName name="EMPREPORTRESR_BudRet">0</definedName>
    <definedName name="EMPREPORTRESR_CAP">0</definedName>
    <definedName name="EMPREPORTRESR_Dim1">0</definedName>
    <definedName name="Emprunt_BudgetRet">0</definedName>
    <definedName name="Emprunt_CAP">0</definedName>
    <definedName name="EmpruntDurée_01">0</definedName>
    <definedName name="EmpruntDurée_02">0</definedName>
    <definedName name="EmpruntDurée_03">0</definedName>
    <definedName name="EmpruntDurée_04">0</definedName>
    <definedName name="EmpruntDurée_05">0</definedName>
    <definedName name="EmpruntDurée_06">0</definedName>
    <definedName name="EmpruntDurée_07">0</definedName>
    <definedName name="EmpruntDurée_08">0</definedName>
    <definedName name="EmpruntDurée_09">0</definedName>
    <definedName name="EmpruntDurée_10">0</definedName>
    <definedName name="EmpruntDurée_11">0</definedName>
    <definedName name="EmpruntDurée_12">0</definedName>
    <definedName name="EmpruntDurée_13">0</definedName>
    <definedName name="EmpruntDurée_14">0</definedName>
    <definedName name="EmpruntDurée_15">0</definedName>
    <definedName name="EmpruntDurée_16">0</definedName>
    <definedName name="EmpruntDurée_17">0</definedName>
    <definedName name="EmpruntDurée_18">0</definedName>
    <definedName name="EmpruntDurée_19">0</definedName>
    <definedName name="EmpruntDurée_20">0</definedName>
    <definedName name="EmpruntMontant_01">0</definedName>
    <definedName name="EmpruntMontant_02">0</definedName>
    <definedName name="EmpruntMontant_03">0</definedName>
    <definedName name="EmpruntMontant_04">0</definedName>
    <definedName name="EmpruntMontant_05">0</definedName>
    <definedName name="EmpruntMontant_06">0</definedName>
    <definedName name="EmpruntMontant_07">0</definedName>
    <definedName name="EmpruntMontant_08">0</definedName>
    <definedName name="EmpruntMontant_09">0</definedName>
    <definedName name="EmpruntMontant_10">0</definedName>
    <definedName name="EmpruntMontant_11">0</definedName>
    <definedName name="EmpruntMontant_12">0</definedName>
    <definedName name="EmpruntMontant_13">0</definedName>
    <definedName name="EmpruntMontant_14">0</definedName>
    <definedName name="EmpruntMontant_15">0</definedName>
    <definedName name="EmpruntMontant_16">0</definedName>
    <definedName name="EmpruntMontant_17">0</definedName>
    <definedName name="EmpruntMontant_18">0</definedName>
    <definedName name="EmpruntMontant_19">0</definedName>
    <definedName name="EmpruntMontant_20">0</definedName>
    <definedName name="EmpruntTaux_01">0</definedName>
    <definedName name="EmpruntTaux_02">0</definedName>
    <definedName name="EmpruntTaux_03">0</definedName>
    <definedName name="EmpruntTaux_04">0</definedName>
    <definedName name="EmpruntTaux_05">0</definedName>
    <definedName name="EmpruntTaux_06">0</definedName>
    <definedName name="EmpruntTaux_07">0</definedName>
    <definedName name="EmpruntTaux_08">0</definedName>
    <definedName name="EmpruntTaux_09">0</definedName>
    <definedName name="EmpruntTaux_10">0</definedName>
    <definedName name="EmpruntTaux_11">0</definedName>
    <definedName name="EmpruntTaux_12">0</definedName>
    <definedName name="EmpruntTaux_13">0</definedName>
    <definedName name="EmpruntTaux_14">0</definedName>
    <definedName name="EmpruntTaux_15">0</definedName>
    <definedName name="EmpruntTaux_16">0</definedName>
    <definedName name="EmpruntTaux_17">0</definedName>
    <definedName name="EmpruntTaux_18">0</definedName>
    <definedName name="EmpruntTaux_19">0</definedName>
    <definedName name="EmpruntTaux_20">0</definedName>
    <definedName name="Enseignantsn">0</definedName>
    <definedName name="EnseignantsnBExec">0</definedName>
    <definedName name="EOrgPreteur">" "</definedName>
    <definedName name="EOrgPreteur_MN">" "</definedName>
    <definedName name="Etab_Adresse1">" "</definedName>
    <definedName name="Etab_Adresse2">" "</definedName>
    <definedName name="Etab_CapaciteAutorisee">0</definedName>
    <definedName name="Etab_Categorieétablissement">" "</definedName>
    <definedName name="Etab_CleFiness">" "</definedName>
    <definedName name="Etab_CodePostal">" "</definedName>
    <definedName name="Etab_Commune">" "</definedName>
    <definedName name="Etab_Conventioncollective">" "</definedName>
    <definedName name="Etab_Date_habilitation">" "</definedName>
    <definedName name="Etab_Directeur">" "</definedName>
    <definedName name="Etab_Email">" "</definedName>
    <definedName name="Etab_Fax">" "</definedName>
    <definedName name="Etab_GenreDirecteur">" "</definedName>
    <definedName name="Etab_NFiness">" "</definedName>
    <definedName name="Etab_Nom">" "</definedName>
    <definedName name="Etab_Secteurétablissement">" "</definedName>
    <definedName name="Etab_Tel1">" "</definedName>
    <definedName name="ETaux">0</definedName>
    <definedName name="ETaux_MN">0</definedName>
    <definedName name="excedent_CApropose">0</definedName>
    <definedName name="excedent_CAretenu">0</definedName>
    <definedName name="excedentCApropose">0</definedName>
    <definedName name="excedentCAretenu">0</definedName>
    <definedName name="Excel_BuiltIn_Print_Area" localSheetId="17">#REF!</definedName>
    <definedName name="Excel_BuiltIn_Print_Area" localSheetId="18">#REF!</definedName>
    <definedName name="Excel_BuiltIn_Print_Area" localSheetId="9">#REF!</definedName>
    <definedName name="Excel_BuiltIn_Print_Area">#REF!</definedName>
    <definedName name="Excel_BuiltIn_Print_Titles">NA()</definedName>
    <definedName name="EXED_ca_propose_0_DÉPENDANCE">0</definedName>
    <definedName name="EXED_ca_propose_0_GLOBAL">0</definedName>
    <definedName name="EXED_ca_propose_0_HÉBERGEMENT">0</definedName>
    <definedName name="EXED_ca_propose_0_SOINS">0</definedName>
    <definedName name="EXED_ca_retenu_0_DÉPENDANCE">0</definedName>
    <definedName name="EXED_ca_retenu_0_GLOBAL">0</definedName>
    <definedName name="EXED_ca_retenu_0_HÉBERGEMENT">0</definedName>
    <definedName name="EXED_ca_retenu_0_SOINS">0</definedName>
    <definedName name="ExedBEXN0">0</definedName>
    <definedName name="ExedBEXN1">0</definedName>
    <definedName name="EXEDBP">0</definedName>
    <definedName name="ExedBPPN0">0</definedName>
    <definedName name="ExedBPPNAD">0</definedName>
    <definedName name="ExedBPPNAVS">0</definedName>
    <definedName name="ExedBPPNENC">0</definedName>
    <definedName name="ExedBPPNTISF">0</definedName>
    <definedName name="EXEDBR">0</definedName>
    <definedName name="ExedBRN0">0</definedName>
    <definedName name="ExedCARN2">0</definedName>
    <definedName name="Exedentincoprablenproposé">0</definedName>
    <definedName name="exedentincorporablenretenu">0</definedName>
    <definedName name="exedentpropose">0</definedName>
    <definedName name="exedentretenu">0</definedName>
    <definedName name="ExedMSNN0">0</definedName>
    <definedName name="Externat">0</definedName>
    <definedName name="ExternatCARN2">0</definedName>
    <definedName name="EXTERNATCAT_budget_propose_0_GLOBAL">0</definedName>
    <definedName name="EXTERNATCAT_budget_retenu_0_GLOBAL">0</definedName>
    <definedName name="EXTERNATCAT_ca_propose_0_GLOBAL">0</definedName>
    <definedName name="ExternatDgN">0</definedName>
    <definedName name="EXTERNATFOY_budget_propose_0_GLOBAL">0</definedName>
    <definedName name="EXTERNATFOY_budget_retenu_0_GLOBAL">0</definedName>
    <definedName name="EXTERNATFOY_ca_propose_0_GLOBAL">0</definedName>
    <definedName name="EXTERNATMAS_budget_propose_0_GLOBAL">0</definedName>
    <definedName name="EXTERNATMAS_budget_retenu_0_GLOBAL">0</definedName>
    <definedName name="EXTERNATMAS_ca_propose_0_GLOBAL">0</definedName>
    <definedName name="FAFFCOM_Dép_CAPN0">0</definedName>
    <definedName name="FAFFCOM_Dép_CARN0">0</definedName>
    <definedName name="FAFFCOM_Héb_CAPN0">0</definedName>
    <definedName name="FAFFCOM_Héb_CARN0">0</definedName>
    <definedName name="FAFFCOM_Soi_CAPN0">0</definedName>
    <definedName name="FAFFCOM_Soi_CARN0">0</definedName>
    <definedName name="FAFFCOMSEC_Dép_CAPN0">0</definedName>
    <definedName name="FAFFCOMSEC_Dép_CARN0">0</definedName>
    <definedName name="FAFFCOMSEC_Héb_CAPN0">0</definedName>
    <definedName name="FAFFCOMSEC_Héb_CARN0">0</definedName>
    <definedName name="FAFFCOMSEC_Soi_CAPN0">0</definedName>
    <definedName name="FAFFCOMSEC_Soi_CARN0">0</definedName>
    <definedName name="FAFFEXP_Dép_CAPN0">0</definedName>
    <definedName name="FAFFEXP_Dép_CARN0">0</definedName>
    <definedName name="FAFFEXP_Héb_CAPN0">0</definedName>
    <definedName name="FAFFEXP_Héb_CARN0">0</definedName>
    <definedName name="FAFFEXP_Soi_CAPN0">0</definedName>
    <definedName name="FAFFEXP_Soi_CARN0">0</definedName>
    <definedName name="FAFFEXPD_Dép_CAPN0">0</definedName>
    <definedName name="FAFFEXPD_Dép_CARN0">0</definedName>
    <definedName name="FAFFEXPD_Héb_CAPN0">0</definedName>
    <definedName name="FAFFEXPD_Héb_CARN0">0</definedName>
    <definedName name="FAFFEXPD_Soi_CAPN0">0</definedName>
    <definedName name="FAFFEXPD_Soi_CARN0">0</definedName>
    <definedName name="FAFFINV_Dép_CAPN0">0</definedName>
    <definedName name="FAFFINV_Dép_CARN0">0</definedName>
    <definedName name="FAFFINV_Héb_CAPN0">0</definedName>
    <definedName name="FAFFINV_Héb_CARN0">0</definedName>
    <definedName name="FAFFINV_Soi_CAPN0">0</definedName>
    <definedName name="FAFFINV_Soi_CARN0">0</definedName>
    <definedName name="FAFFMESEXP1_Dép_CAPN0">0</definedName>
    <definedName name="FAFFMESEXP1_Dép_CARN0">0</definedName>
    <definedName name="FAFFMESEXP1_Héb_CAPN0">0</definedName>
    <definedName name="FAFFMESEXP1_Héb_CARN0">0</definedName>
    <definedName name="FAFFMESEXP1_Soi_CAPN0">0</definedName>
    <definedName name="FAFFMESEXP1_Soi_CARN0">0</definedName>
    <definedName name="FAFFRES_Dép_CARN0">0</definedName>
    <definedName name="FAFFRES_Héb_CARN0">0</definedName>
    <definedName name="FAFFRES_Soi_CARN0">0</definedName>
    <definedName name="FAFFTRES_Dép_CAPN0">0</definedName>
    <definedName name="FAFFTRES_Dép_CARN0">0</definedName>
    <definedName name="FAFFTRES_Héb_CAPN0">0</definedName>
    <definedName name="FAFFTRES_Héb_CARN0">0</definedName>
    <definedName name="FAFFTRES_Soi_CAPN0">0</definedName>
    <definedName name="FAFFTRES_Soi_CARN0">0</definedName>
    <definedName name="FAgGestAD_CAproposé">0</definedName>
    <definedName name="FAgGestADB_CAproposé">0</definedName>
    <definedName name="FAgGestADM_CAproposé">0</definedName>
    <definedName name="FAgGestAID_CAproposé">0</definedName>
    <definedName name="FAgGestAMP_CAproposé">0</definedName>
    <definedName name="FAgGestANI_CAproposé">0</definedName>
    <definedName name="FAgGestASH_CAproposé">0</definedName>
    <definedName name="FAgGestASS_CAproposé">0</definedName>
    <definedName name="FAgGestAUE_CAproposé">0</definedName>
    <definedName name="FAgGestAUP_CAproposé">0</definedName>
    <definedName name="FAgGestAUT_CAproposé">0</definedName>
    <definedName name="FAgGestAVS_CAproposé">0</definedName>
    <definedName name="FAgGestCOM_CAproposé">0</definedName>
    <definedName name="FAgGestCSE_CAproposé">0</definedName>
    <definedName name="FAgGestCUI_CAproposé">0</definedName>
    <definedName name="FAgGestDET_CAproposé">0</definedName>
    <definedName name="FAgGestDIR_CAproposé">0</definedName>
    <definedName name="FAgGestEDS_CAproposé">0</definedName>
    <definedName name="FAgGestEDT_CAproposé">0</definedName>
    <definedName name="FAgGestEDU_CAproposé">0</definedName>
    <definedName name="FAgGestEEN_CAproposé">0</definedName>
    <definedName name="FAgGestENC_CAproposé">0</definedName>
    <definedName name="FAgGestESP_CAproposé">0</definedName>
    <definedName name="FAgGestGES_CAproposé">0</definedName>
    <definedName name="FAgGestLIN_CAproposé">0</definedName>
    <definedName name="FAgGestMDM_CAproposé">0</definedName>
    <definedName name="FAgGestMED_CAproposé">0</definedName>
    <definedName name="FAgGestMEN_CAproposé">0</definedName>
    <definedName name="FAgGestMOE_CAproposé">0</definedName>
    <definedName name="FAgGestOUE_CAproposé">0</definedName>
    <definedName name="FAgGestPAR_CAproposé">0</definedName>
    <definedName name="FAgGestPSY_CAproposé">0</definedName>
    <definedName name="FAgGestRES_CAproposé">0</definedName>
    <definedName name="FAgGestRTT_CAproposé">0</definedName>
    <definedName name="FAgGestSER_CAproposé">0</definedName>
    <definedName name="FAgGestVDN_CAproposé">0</definedName>
    <definedName name="FAgTPGestAD_CAproposé">0</definedName>
    <definedName name="FAgTPGestADB_CAproposé">0</definedName>
    <definedName name="FAgTPGestADM_CAproposé">0</definedName>
    <definedName name="FAgTPGestADMGES_BEXN1">0</definedName>
    <definedName name="FAgTPGestAID_CAproposé">0</definedName>
    <definedName name="FAgTPGestAMP_CAproposé">0</definedName>
    <definedName name="FAgTPGestANI_CAproposé">0</definedName>
    <definedName name="FAgTPGestASH_CAproposé">0</definedName>
    <definedName name="FAgTPGestASS_CAproposé">0</definedName>
    <definedName name="FAgTPGestAUE_CAproposé">0</definedName>
    <definedName name="FAgTPGestAUP_CAproposé">0</definedName>
    <definedName name="FAgTPGestAUT_CAproposé">0</definedName>
    <definedName name="FAgTPGestAVS_CAproposé">0</definedName>
    <definedName name="FAgTPGestCOM_CAproposé">0</definedName>
    <definedName name="FAgTPGestCSE_CAproposé">0</definedName>
    <definedName name="FAgTPGestCUI_CAproposé">0</definedName>
    <definedName name="FAgTPGestDET_CAproposé">0</definedName>
    <definedName name="FAgTPGestDIR_CAproposé">0</definedName>
    <definedName name="FAgTPGestEDS_CAproposé">0</definedName>
    <definedName name="FAgTPGestEDT_CAproposé">0</definedName>
    <definedName name="FAgTPGestEDU_CAproposé">0</definedName>
    <definedName name="FAgTPGestEEN_CAproposé">0</definedName>
    <definedName name="FAgTPGestENC_CAproposé">0</definedName>
    <definedName name="FAgTPGestENCDIR_BEXN1">0</definedName>
    <definedName name="FAgTPGestESP_CAproposé">0</definedName>
    <definedName name="FAgTPGestGES_CAproposé">0</definedName>
    <definedName name="FAgTPGestLIN_CAproposé">0</definedName>
    <definedName name="FAgTPGestMDM_CAproposé">0</definedName>
    <definedName name="FAgTPGestMED_CAproposé">0</definedName>
    <definedName name="FAgTPGestMEDPARPSY_BEXN1">0</definedName>
    <definedName name="FAgTPGestMEN_CAproposé">0</definedName>
    <definedName name="FAgTPGestMOE_CAproposé">0</definedName>
    <definedName name="FAgTPGestOUE_CAproposé">0</definedName>
    <definedName name="FAgTPGestPAR_BEXN1">0</definedName>
    <definedName name="FAgTPGestPAR_CAproposé">0</definedName>
    <definedName name="FAgTPGestPSY_BEXN1">0</definedName>
    <definedName name="FAgTPGestPSY_CAproposé">0</definedName>
    <definedName name="FAgTPGestRES_CAproposé">0</definedName>
    <definedName name="FAgTPGestRTT_CAproposé">0</definedName>
    <definedName name="FAgTPGestSER_CAproposé">0</definedName>
    <definedName name="FAgTPGestSOCEDU_BEXN1">0</definedName>
    <definedName name="FAgTPGestVDN_CAproposé">0</definedName>
    <definedName name="FBIFCJ41_CAretenu_moins2">0</definedName>
    <definedName name="FBIFCJ41_CAretenu_moins3">0</definedName>
    <definedName name="FBIFCJ41_CAretenu_moins4">0</definedName>
    <definedName name="FBIFCJ42_CAretenu_moins2">0</definedName>
    <definedName name="FBIFCJ42_CAretenu_moins3">0</definedName>
    <definedName name="FBIFCJ42_CAretenu_moins4">0</definedName>
    <definedName name="FBIFCJ43_CAretenu_moins2">0</definedName>
    <definedName name="FBIFCJ43_CAretenu_moins3">0</definedName>
    <definedName name="FBIFCJ43_CAretenu_moins4">0</definedName>
    <definedName name="FBIFCJCT1_CAretenu_moins2">0</definedName>
    <definedName name="FBIFCJCT1_CAretenu_moins3">0</definedName>
    <definedName name="FBIFCJCT1_CAretenu_moins4">0</definedName>
    <definedName name="FBIFCJCT2_CAretenu_moins2">0</definedName>
    <definedName name="FBIFCJCT2_CAretenu_moins3">0</definedName>
    <definedName name="FBIFCJCT2_CAretenu_moins4">0</definedName>
    <definedName name="FBIFCJDT_CAretenu_4">44600</definedName>
    <definedName name="FBIFCJDT_CAretenu_moins2">0</definedName>
    <definedName name="FBIFCJDT_CAretenu_moins3">0</definedName>
    <definedName name="FBIFCJDT_CAretenu_moins4">0</definedName>
    <definedName name="FBIFCKCT_CAretenu_moins2">0</definedName>
    <definedName name="FBIFCKCT_CAretenu_moins3">0</definedName>
    <definedName name="FBIFCKCT_CAretenu_moins4">0</definedName>
    <definedName name="FBIFCKDT_CAretenu_moins2">0</definedName>
    <definedName name="FBIFCKDT_CAretenu_moins3">0</definedName>
    <definedName name="FBIFCKDT_CAretenu_moins4">0</definedName>
    <definedName name="FBIFCSEL_CAretenu_moins2">0</definedName>
    <definedName name="FBIFCSEL_CAretenu_moins3">0</definedName>
    <definedName name="FBIFCSEL_CAretenu_moins4">0</definedName>
    <definedName name="FBIFCU_CAretenu_moins2">0</definedName>
    <definedName name="FBIFCU_CAretenu_moins3">0</definedName>
    <definedName name="FBIFCU_CAretenu_moins4">0</definedName>
    <definedName name="FBIFDEC_CAretenu_moins2">0</definedName>
    <definedName name="FBIFDEC_CAretenu_moins3">0</definedName>
    <definedName name="FBIFDEC_CAretenu_moins4">0</definedName>
    <definedName name="FBIFDF_CAretenu_moins2">0</definedName>
    <definedName name="FBIFDF_CAretenu_moins3">0</definedName>
    <definedName name="FBIFDF_CAretenu_moins4">0</definedName>
    <definedName name="FBIFDNDM_CAretenu_moins2">0</definedName>
    <definedName name="FBIFDNDM_CAretenu_moins3">0</definedName>
    <definedName name="FBIFDNDM_CAretenu_moins4">0</definedName>
    <definedName name="FBIFEKDG_CAretenu_moins2">0</definedName>
    <definedName name="FBIFEKDG_CAretenu_moins3">0</definedName>
    <definedName name="FBIFEKDG_CAretenu_moins4">0</definedName>
    <definedName name="FBILAB_CAretenu_moins2">0</definedName>
    <definedName name="FBILAB_CAretenu_moins3">0</definedName>
    <definedName name="FBILAB_CAretenu_moins4">0</definedName>
    <definedName name="FBILABAC_CAretenu_moins2">0</definedName>
    <definedName name="FBILABAC_CAretenu_moins3">0</definedName>
    <definedName name="FBILABAC_CAretenu_moins3_1">0</definedName>
    <definedName name="FBILABAC_CAretenu_moins4">0</definedName>
    <definedName name="FBILAC_CAretenu_moins2">0</definedName>
    <definedName name="FBILAC_CAretenu_moins3">0</definedName>
    <definedName name="FBILAC_CAretenu_moins4">0</definedName>
    <definedName name="FBILAD_CAretenu_moins2">0</definedName>
    <definedName name="FBILAD_CAretenu_moins3">0</definedName>
    <definedName name="FBILAD_CAretenu_moins4">0</definedName>
    <definedName name="FBILADAE_CAretenu_moins2">0</definedName>
    <definedName name="FBILADAE_CAretenu_moins3">0</definedName>
    <definedName name="FBILADAE_CAretenu_moins3_1">0</definedName>
    <definedName name="FBILADAE_CAretenu_moins4">0</definedName>
    <definedName name="FBILAE_CAretenu_moins2">0</definedName>
    <definedName name="FBILAE_CAretenu_moins3">0</definedName>
    <definedName name="FBILAE_CAretenu_moins4">0</definedName>
    <definedName name="FBILAF_CAretenu_moins2">0</definedName>
    <definedName name="FBILAF_CAretenu_moins3">0</definedName>
    <definedName name="FBILAF_CAretenu_moins4">0</definedName>
    <definedName name="FBILAFAG_CAretenu_moins2">0</definedName>
    <definedName name="FBILAFAG_CAretenu_moins3">0</definedName>
    <definedName name="FBILAFAG_CAretenu_moins3_1">0</definedName>
    <definedName name="FBILAFAG_CAretenu_moins4">0</definedName>
    <definedName name="FBILAG_CAretenu_moins2">0</definedName>
    <definedName name="FBILAG_CAretenu_moins3">0</definedName>
    <definedName name="FBILAG_CAretenu_moins4">0</definedName>
    <definedName name="FBILAH_CAretenu_moins2">0</definedName>
    <definedName name="FBILAH_CAretenu_moins3">0</definedName>
    <definedName name="FBILAH_CAretenu_moins4">0</definedName>
    <definedName name="FBILAHAI_CAretenu_moins2">0</definedName>
    <definedName name="FBILAHAI_CAretenu_moins3">0</definedName>
    <definedName name="FBILAHAI_CAretenu_moins3_1">0</definedName>
    <definedName name="FBILAHAI_CAretenu_moins4">0</definedName>
    <definedName name="FBILAI_CAretenu_moins2">0</definedName>
    <definedName name="FBILAI_CAretenu_moins3">0</definedName>
    <definedName name="FBILAI_CAretenu_moins4">0</definedName>
    <definedName name="FBILAJ_CAretenu_moins2">0</definedName>
    <definedName name="FBILAJ_CAretenu_moins3">0</definedName>
    <definedName name="FBILAJ_CAretenu_moins4">0</definedName>
    <definedName name="FBILAJAK_CAretenu_moins2">0</definedName>
    <definedName name="FBILAJAK_CAretenu_moins3">0</definedName>
    <definedName name="FBILAJAK_CAretenu_moins3_1">0</definedName>
    <definedName name="FBILAJAK_CAretenu_moins4">0</definedName>
    <definedName name="FBILAK_CAretenu_moins2">0</definedName>
    <definedName name="FBILAK_CAretenu_moins3">0</definedName>
    <definedName name="FBILAK_CAretenu_moins4">0</definedName>
    <definedName name="FBILAL_CAretenu_moins2">0</definedName>
    <definedName name="FBILAL_CAretenu_moins3">0</definedName>
    <definedName name="FBILAL_CAretenu_moins4">0</definedName>
    <definedName name="FBILALAM_CAretenu_moins2">0</definedName>
    <definedName name="FBILALAM_CAretenu_moins3">0</definedName>
    <definedName name="FBILALAM_CAretenu_moins3_1">0</definedName>
    <definedName name="FBILALAM_CAretenu_moins4">0</definedName>
    <definedName name="FBILAM_CAretenu_moins2">0</definedName>
    <definedName name="FBILAM_CAretenu_moins3">0</definedName>
    <definedName name="FBILAM_CAretenu_moins4">0</definedName>
    <definedName name="FBILAN_CAretenu_moins2">0</definedName>
    <definedName name="FBILAN_CAretenu_moins3">0</definedName>
    <definedName name="FBILAN_CAretenu_moins4">0</definedName>
    <definedName name="FBILAO_CAretenu_moins2">0</definedName>
    <definedName name="FBILAO_CAretenu_moins3">0</definedName>
    <definedName name="FBILAO_CAretenu_moins4">0</definedName>
    <definedName name="FBILAOAN_CAretenu_moins2">0</definedName>
    <definedName name="FBILAOAN_CAretenu_moins3">0</definedName>
    <definedName name="FBILAOAN_CAretenu_moins3_1">0</definedName>
    <definedName name="FBILAOAN_CAretenu_moins4">0</definedName>
    <definedName name="FBILAP_CAretenu_moins2">0</definedName>
    <definedName name="FBILAP_CAretenu_moins3">0</definedName>
    <definedName name="FBILAP_CAretenu_moins4">0</definedName>
    <definedName name="FBILAPAQ_CAretenu_moins2">0</definedName>
    <definedName name="FBILAPAQ_CAretenu_moins3">0</definedName>
    <definedName name="FBILAPAQ_CAretenu_moins3_1">0</definedName>
    <definedName name="FBILAPAQ_CAretenu_moins4">0</definedName>
    <definedName name="FBILAQ_CAretenu_moins2">0</definedName>
    <definedName name="FBILAQ_CAretenu_moins3">0</definedName>
    <definedName name="FBILAQ_CAretenu_moins4">0</definedName>
    <definedName name="FBILAR_CAretenu_moins2">0</definedName>
    <definedName name="FBILAR_CAretenu_moins3">0</definedName>
    <definedName name="FBILAR_CAretenu_moins4">0</definedName>
    <definedName name="FBILARAS_CAretenu_moins2">0</definedName>
    <definedName name="FBILARAS_CAretenu_moins3">0</definedName>
    <definedName name="FBILARAS_CAretenu_moins3_1">0</definedName>
    <definedName name="FBILARAS_CAretenu_moins4">0</definedName>
    <definedName name="FBILAS_CAretenu_moins2">0</definedName>
    <definedName name="FBILAS_CAretenu_moins3">0</definedName>
    <definedName name="FBILAS_CAretenu_moins4">0</definedName>
    <definedName name="FBILAT_CAretenu_moins2">0</definedName>
    <definedName name="FBILAT_CAretenu_moins3">0</definedName>
    <definedName name="FBILAT_CAretenu_moins4">0</definedName>
    <definedName name="FBILATAU_CAretenu_moins2">0</definedName>
    <definedName name="FBILATAU_CAretenu_moins3">0</definedName>
    <definedName name="FBILATAU_CAretenu_moins3_1">0</definedName>
    <definedName name="FBILATAU_CAretenu_moins4">0</definedName>
    <definedName name="FBILAU_CAretenu_moins2">0</definedName>
    <definedName name="FBILAU_CAretenu_moins3">0</definedName>
    <definedName name="FBILAU_CAretenu_moins4">0</definedName>
    <definedName name="FBILAUTRE1_CAretenu_moins2">0</definedName>
    <definedName name="FBILAUTRE1_CAretenu_moins3">0</definedName>
    <definedName name="FBILAUTRE1_CAretenu_moins4">0</definedName>
    <definedName name="FBILAUTRE2_CAretenu_moins2">0</definedName>
    <definedName name="FBILAUTRE2_CAretenu_moins3">0</definedName>
    <definedName name="FBILAUTRE2_CAretenu_moins4">0</definedName>
    <definedName name="FBILAUTRE3_CAretenu_moins2">0</definedName>
    <definedName name="FBILAUTRE3_CAretenu_moins3">0</definedName>
    <definedName name="FBILAUTRE3_CAretenu_moins4">0</definedName>
    <definedName name="FBILAV_CAretenu_moins2">0</definedName>
    <definedName name="FBILAV_CAretenu_moins3">0</definedName>
    <definedName name="FBILAV_CAretenu_moins4">0</definedName>
    <definedName name="FBILAVAW_CAretenu_moins2">0</definedName>
    <definedName name="FBILAVAW_CAretenu_moins3">0</definedName>
    <definedName name="FBILAVAW_CAretenu_moins3_1">0</definedName>
    <definedName name="FBILAVAW_CAretenu_moins4">0</definedName>
    <definedName name="FBILAW_CAretenu_moins2">0</definedName>
    <definedName name="FBILAW_CAretenu_moins3">0</definedName>
    <definedName name="FBILAW_CAretenu_moins4">0</definedName>
    <definedName name="FBILAX_CAretenu_moins2">0</definedName>
    <definedName name="FBILAX_CAretenu_moins3">0</definedName>
    <definedName name="FBILAX_CAretenu_moins3_1">0</definedName>
    <definedName name="FBILAX_CAretenu_moins4">0</definedName>
    <definedName name="FBILAx1_CAretenu_moins2">0</definedName>
    <definedName name="FBILAx1_CAretenu_moins3">0</definedName>
    <definedName name="FBILAx1_CAretenu_moins4">0</definedName>
    <definedName name="FBILAx2_CAretenu_moins2">0</definedName>
    <definedName name="FBILAx2_CAretenu_moins3">0</definedName>
    <definedName name="FBILAx2_CAretenu_moins4">0</definedName>
    <definedName name="FBILBB_CAretenu_moins2">0</definedName>
    <definedName name="FBILBB_CAretenu_moins3">0</definedName>
    <definedName name="FBILBB_CAretenu_moins4">0</definedName>
    <definedName name="FBILBBBC_CAretenu_moins2">0</definedName>
    <definedName name="FBILBBBC_CAretenu_moins3">0</definedName>
    <definedName name="FBILBBBC_CAretenu_moins3_1">0</definedName>
    <definedName name="FBILBBBC_CAretenu_moins4">0</definedName>
    <definedName name="FBILBC_CAretenu_moins2">0</definedName>
    <definedName name="FBILBC_CAretenu_moins3">0</definedName>
    <definedName name="FBILBC_CAretenu_moins4">0</definedName>
    <definedName name="FBILBD_CAretenu_moins2">0</definedName>
    <definedName name="FBILBD_CAretenu_moins3">0</definedName>
    <definedName name="FBILBD_CAretenu_moins4">0</definedName>
    <definedName name="FBILBDBE_CAretenu_moins2">0</definedName>
    <definedName name="FBILBDBE_CAretenu_moins3">0</definedName>
    <definedName name="FBILBDBE_CAretenu_moins3_1">0</definedName>
    <definedName name="FBILBDBE_CAretenu_moins4">0</definedName>
    <definedName name="FBILBE_CAretenu_moins2">0</definedName>
    <definedName name="FBILBE_CAretenu_moins3">0</definedName>
    <definedName name="FBILBE_CAretenu_moins4">0</definedName>
    <definedName name="FBILBF_CAretenu_moins2">0</definedName>
    <definedName name="FBILBF_CAretenu_moins3">0</definedName>
    <definedName name="FBILBF_CAretenu_moins3_1">0</definedName>
    <definedName name="FBILBF_CAretenu_moins4">0</definedName>
    <definedName name="FBILBF1_CAretenu_moins2">0</definedName>
    <definedName name="FBILBF1_CAretenu_moins3">0</definedName>
    <definedName name="FBILBF1_CAretenu_moins4">0</definedName>
    <definedName name="FBILBF2_CAretenu_moins2">0</definedName>
    <definedName name="FBILBF2_CAretenu_moins3">0</definedName>
    <definedName name="FBILBF2_CAretenu_moins4">0</definedName>
    <definedName name="FBILBG_CAretenu_moins2">0</definedName>
    <definedName name="FBILBG_CAretenu_moins3">0</definedName>
    <definedName name="FBILBG_CAretenu_moins3_1">0</definedName>
    <definedName name="FBILBG_CAretenu_moins4">0</definedName>
    <definedName name="FBILBG1_CAretenu_moins2">0</definedName>
    <definedName name="FBILBG1_CAretenu_moins3">0</definedName>
    <definedName name="FBILBG1_CAretenu_moins4">0</definedName>
    <definedName name="FBILBG2_CAretenu_moins2">0</definedName>
    <definedName name="FBILBG2_CAretenu_moins3">0</definedName>
    <definedName name="FBILBG2_CAretenu_moins4">0</definedName>
    <definedName name="FBILBG3_CAretenu_moins2">0</definedName>
    <definedName name="FBILBG3_CAretenu_moins3">0</definedName>
    <definedName name="FBILBG3_CAretenu_moins4">0</definedName>
    <definedName name="FBILBG4_CAretenu_moins2">0</definedName>
    <definedName name="FBILBG4_CAretenu_moins3">0</definedName>
    <definedName name="FBILBG4_CAretenu_moins4">0</definedName>
    <definedName name="FBILBH_CAretenu_moins2">0</definedName>
    <definedName name="FBILBH_CAretenu_moins3">0</definedName>
    <definedName name="FBILBH_CAretenu_moins4">0</definedName>
    <definedName name="FBILBHBI_CAretenu_moins2">0</definedName>
    <definedName name="FBILBHBI_CAretenu_moins3">0</definedName>
    <definedName name="FBILBHBI_CAretenu_moins3_1">0</definedName>
    <definedName name="FBILBHBI_CAretenu_moins4">0</definedName>
    <definedName name="FBILBI_CAretenu_moins2">0</definedName>
    <definedName name="FBILBI_CAretenu_moins3">0</definedName>
    <definedName name="FBILBI_CAretenu_moins4">0</definedName>
    <definedName name="FBILBJ_CAretenu_moins2">0</definedName>
    <definedName name="FBILBJ_CAretenu_moins3">0</definedName>
    <definedName name="FBILBJ_CAretenu_moins4">0</definedName>
    <definedName name="FBILBJBK_CAretenu_moins2">0</definedName>
    <definedName name="FBILBJBK_CAretenu_moins3">0</definedName>
    <definedName name="FBILBJBK_CAretenu_moins3_1">0</definedName>
    <definedName name="FBILBJBK_CAretenu_moins4">0</definedName>
    <definedName name="FBILBK_CAretenu_moins2">0</definedName>
    <definedName name="FBILBK_CAretenu_moins3">0</definedName>
    <definedName name="FBILBK_CAretenu_moins4">0</definedName>
    <definedName name="FBILBL_CAretenu_moins2">0</definedName>
    <definedName name="FBILBL_CAretenu_moins3">0</definedName>
    <definedName name="FBILBL_CAretenu_moins4">0</definedName>
    <definedName name="FBILBLBM_CAretenu_moins2">0</definedName>
    <definedName name="FBILBLBM_CAretenu_moins3">0</definedName>
    <definedName name="FBILBLBM_CAretenu_moins3_1">0</definedName>
    <definedName name="FBILBLBM_CAretenu_moins4">0</definedName>
    <definedName name="FBILBM_CAretenu_moins2">0</definedName>
    <definedName name="FBILBM_CAretenu_moins3">0</definedName>
    <definedName name="FBILBM_CAretenu_moins4">0</definedName>
    <definedName name="FBILBN_CAretenu_moins2">0</definedName>
    <definedName name="FBILBN_CAretenu_moins3">0</definedName>
    <definedName name="FBILBN_CAretenu_moins4">0</definedName>
    <definedName name="FBILBNBO_CAretenu_moins2">0</definedName>
    <definedName name="FBILBNBO_CAretenu_moins3">0</definedName>
    <definedName name="FBILBNBO_CAretenu_moins3_1">0</definedName>
    <definedName name="FBILBNBO_CAretenu_moins4">0</definedName>
    <definedName name="FBILBO_CAretenu_moins2">0</definedName>
    <definedName name="FBILBO_CAretenu_moins3">0</definedName>
    <definedName name="FBILBO_CAretenu_moins4">0</definedName>
    <definedName name="FBILBP_CAretenu_moins2">0</definedName>
    <definedName name="FBILBP_CAretenu_moins3">0</definedName>
    <definedName name="FBILBP_CAretenu_moins4">0</definedName>
    <definedName name="FBILBPBQ_CAretenu_moins2">0</definedName>
    <definedName name="FBILBPBQ_CAretenu_moins3">0</definedName>
    <definedName name="FBILBPBQ_CAretenu_moins3_1">0</definedName>
    <definedName name="FBILBPBQ_CAretenu_moins4">0</definedName>
    <definedName name="FBILBQ_CAretenu_moins2">0</definedName>
    <definedName name="FBILBQ_CAretenu_moins3">0</definedName>
    <definedName name="FBILBQ_CAretenu_moins4">0</definedName>
    <definedName name="FBILBR_CAretenu_moins2">0</definedName>
    <definedName name="FBILBR_CAretenu_moins3">0</definedName>
    <definedName name="FBILBR_CAretenu_moins4">0</definedName>
    <definedName name="FBILBRBS_CAretenu_moins2">0</definedName>
    <definedName name="FBILBRBS_CAretenu_moins3">0</definedName>
    <definedName name="FBILBRBS_CAretenu_moins3_1">0</definedName>
    <definedName name="FBILBRBS_CAretenu_moins4">0</definedName>
    <definedName name="FBILBS_CAretenu_moins2">0</definedName>
    <definedName name="FBILBS_CAretenu_moins3">0</definedName>
    <definedName name="FBILBS_CAretenu_moins4">0</definedName>
    <definedName name="FBILBT_CAretenu_moins2">0</definedName>
    <definedName name="FBILBT_CAretenu_moins3">0</definedName>
    <definedName name="FBILBT_CAretenu_moins4">0</definedName>
    <definedName name="FBILBTBU_CAretenu_moins2">0</definedName>
    <definedName name="FBILBTBU_CAretenu_moins3">0</definedName>
    <definedName name="FBILBTBU_CAretenu_moins3_1">0</definedName>
    <definedName name="FBILBTBU_CAretenu_moins4">0</definedName>
    <definedName name="FBILBU_CAretenu_moins2">0</definedName>
    <definedName name="FBILBU_CAretenu_moins3">0</definedName>
    <definedName name="FBILBU_CAretenu_moins4">0</definedName>
    <definedName name="FBILBV_CAretenu_moins2">0</definedName>
    <definedName name="FBILBV_CAretenu_moins3">0</definedName>
    <definedName name="FBILBV_CAretenu_moins3_1">0</definedName>
    <definedName name="FBILBV_CAretenu_moins4">0</definedName>
    <definedName name="FBILBW_CAretenu_moins2">0</definedName>
    <definedName name="FBILBW_CAretenu_moins3">0</definedName>
    <definedName name="FBILBW_CAretenu_moins3_1">0</definedName>
    <definedName name="FBILBW_CAretenu_moins4">0</definedName>
    <definedName name="FBILBX_CAretenu_moins2">0</definedName>
    <definedName name="FBILBX_CAretenu_moins3">0</definedName>
    <definedName name="FBILBX_CAretenu_moins4">0</definedName>
    <definedName name="FBILBXBY_CAretenu_moins2">0</definedName>
    <definedName name="FBILBXBY_CAretenu_moins3">0</definedName>
    <definedName name="FBILBXBY_CAretenu_moins3_1">0</definedName>
    <definedName name="FBILBXBY_CAretenu_moins4">0</definedName>
    <definedName name="FBILBY_CAretenu_moins2">0</definedName>
    <definedName name="FBILBY_CAretenu_moins3">0</definedName>
    <definedName name="FBILBY_CAretenu_moins4">0</definedName>
    <definedName name="FBILBZ_CAretenu_moins2">0</definedName>
    <definedName name="FBILBZ_CAretenu_moins3">0</definedName>
    <definedName name="FBILBZ_CAretenu_moins3_1">0</definedName>
    <definedName name="FBILBZ_CAretenu_moins4">0</definedName>
    <definedName name="FBILCA_CAretenu_moins2">0</definedName>
    <definedName name="FBILCA_CAretenu_moins3">0</definedName>
    <definedName name="FBILCA_CAretenu_moins3_1">0</definedName>
    <definedName name="FBILCA_CAretenu_moins4">0</definedName>
    <definedName name="FBILCB_CAretenu_moins2">0</definedName>
    <definedName name="FBILCB_CAretenu_moins3">0</definedName>
    <definedName name="FBILCB_CAretenu_moins3_1">0</definedName>
    <definedName name="FBILCB_CAretenu_moins4">0</definedName>
    <definedName name="FBILCCBQ_CAretenu_moins2">0</definedName>
    <definedName name="FBILCCBQ_CAretenu_moins3">0</definedName>
    <definedName name="FBILCCBQ_CAretenu_moins4">0</definedName>
    <definedName name="FBILCD_CAretenu_moins2">0</definedName>
    <definedName name="FBILCD_CAretenu_moins3">0</definedName>
    <definedName name="FBILCD_CAretenu_moins3_1">0</definedName>
    <definedName name="FBILCD_CAretenu_moins4">0</definedName>
    <definedName name="FBILCE_CAretenu_moins2">0</definedName>
    <definedName name="FBILCE_CAretenu_moins3">0</definedName>
    <definedName name="FBILCE_CAretenu_moins3_1">0</definedName>
    <definedName name="FBILCE_CAretenu_moins4">0</definedName>
    <definedName name="FBILCF_CAretenu_moins2">0</definedName>
    <definedName name="FBILCF_CAretenu_moins3">0</definedName>
    <definedName name="FBILCF_CAretenu_moins3_1">0</definedName>
    <definedName name="FBILCF_CAretenu_moins4">0</definedName>
    <definedName name="FBILCH_CAretenu_moins2">0</definedName>
    <definedName name="FBILCH_CAretenu_moins3">0</definedName>
    <definedName name="FBILCH_CAretenu_moins3_1">0</definedName>
    <definedName name="FBILCH_CAretenu_moins4">0</definedName>
    <definedName name="FBILCI_CAretenu_moins2">0</definedName>
    <definedName name="FBILCI_CAretenu_moins3">0</definedName>
    <definedName name="FBILCI_CAretenu_moins3_1">0</definedName>
    <definedName name="FBILCI_CAretenu_moins4">0</definedName>
    <definedName name="FBILCJ_CAretenu_moins2">0</definedName>
    <definedName name="FBILCJ_CAretenu_moins3">0</definedName>
    <definedName name="FBILCJ_CAretenu_moins3_1">7976</definedName>
    <definedName name="FBILCJ_CAretenu_moins3_1_50">7976</definedName>
    <definedName name="FBILCJ_CAretenu_moins4">0</definedName>
    <definedName name="FBILCJ1_CAretenu_moins2">0</definedName>
    <definedName name="FBILCJ1_CAretenu_moins3">0</definedName>
    <definedName name="FBILCJ1_CAretenu_moins3_1">0</definedName>
    <definedName name="FBILCJ1_CAretenu_moins4">0</definedName>
    <definedName name="FBILCJ2_CAretenu_moins2">0</definedName>
    <definedName name="FBILCJ2_CAretenu_moins3">0</definedName>
    <definedName name="FBILCJ2_CAretenu_moins3_1">7976</definedName>
    <definedName name="FBILCJ2_CAretenu_moins3_1_50">7976</definedName>
    <definedName name="FBILCJ2_CAretenu_moins4">0</definedName>
    <definedName name="FBILCJ3_CAretenu_moins2">0</definedName>
    <definedName name="FBILCJ3_CAretenu_moins3">0</definedName>
    <definedName name="FBILCJ3_CAretenu_moins3_1">7976</definedName>
    <definedName name="FBILCJ3_CAretenu_moins3_1_50">7976</definedName>
    <definedName name="FBILCJ3_CAretenu_moins4">0</definedName>
    <definedName name="FBILCJ4_CAretenu_moins2">0</definedName>
    <definedName name="FBILCJ4_CAretenu_moins3">0</definedName>
    <definedName name="FBILCJ4_CAretenu_moins3_1">7976</definedName>
    <definedName name="FBILCJ4_CAretenu_moins3_1_50">7976</definedName>
    <definedName name="FBILCJ4_CAretenu_moins4">0</definedName>
    <definedName name="FBILCJd_CAretenu_moins2">0</definedName>
    <definedName name="FBILCJd_CAretenu_moins3">0</definedName>
    <definedName name="FBILCJd_CAretenu_moins4">0</definedName>
    <definedName name="FBILCJe1_CAretenu_moins2">0</definedName>
    <definedName name="FBILCJe1_CAretenu_moins3">0</definedName>
    <definedName name="FBILCJe1_CAretenu_moins4">0</definedName>
    <definedName name="FBILCJe2_CAretenu_moins2">0</definedName>
    <definedName name="FBILCJe2_CAretenu_moins3">0</definedName>
    <definedName name="FBILCJe2_CAretenu_moins4">0</definedName>
    <definedName name="FBILCK_CAretenu_moins2">0</definedName>
    <definedName name="FBILCK_CAretenu_moins3">0</definedName>
    <definedName name="FBILCK_CAretenu_moins3_1">0</definedName>
    <definedName name="FBILCK_CAretenu_moins4">0</definedName>
    <definedName name="FBILCL_CAretenu_moins2">0</definedName>
    <definedName name="FBILCL_CAretenu_moins3">0</definedName>
    <definedName name="FBILCL_CAretenu_moins3_1">0</definedName>
    <definedName name="FBILCL_CAretenu_moins4">0</definedName>
    <definedName name="FBILCM_CAretenu_moins2">0</definedName>
    <definedName name="FBILCM_CAretenu_moins3">0</definedName>
    <definedName name="FBILCM_CAretenu_moins3_1">0</definedName>
    <definedName name="FBILCM_CAretenu_moins4">0</definedName>
    <definedName name="FBILCN_CAretenu_moins2">0</definedName>
    <definedName name="FBILCN_CAretenu_moins3">0</definedName>
    <definedName name="FBILCN_CAretenu_moins3_1">0</definedName>
    <definedName name="FBILCN_CAretenu_moins4">0</definedName>
    <definedName name="FBILCO_CAretenu_moins2">0</definedName>
    <definedName name="FBILCO_CAretenu_moins3">0</definedName>
    <definedName name="FBILCO_CAretenu_moins3_1">0</definedName>
    <definedName name="FBILCO_CAretenu_moins4">0</definedName>
    <definedName name="FBILCO1_CAretenu_moins2">0</definedName>
    <definedName name="FBILCO1_CAretenu_moins3">0</definedName>
    <definedName name="FBILCO1_CAretenu_moins4">0</definedName>
    <definedName name="FBILCO2_CAretenu_moins2">0</definedName>
    <definedName name="FBILCO2_CAretenu_moins3">0</definedName>
    <definedName name="FBILCO2_CAretenu_moins4">0</definedName>
    <definedName name="FBILCO3_CAretenu_moins2">0</definedName>
    <definedName name="FBILCO3_CAretenu_moins3">0</definedName>
    <definedName name="FBILCO3_CAretenu_moins4">0</definedName>
    <definedName name="FBILCO4_CAretenu_moins2">0</definedName>
    <definedName name="FBILCO4_CAretenu_moins3">0</definedName>
    <definedName name="FBILCO4_CAretenu_moins4">0</definedName>
    <definedName name="FBILCP_CAretenu_moins2">0</definedName>
    <definedName name="FBILCP_CAretenu_moins3">0</definedName>
    <definedName name="FBILCP_CAretenu_moins4">0</definedName>
    <definedName name="FBILCRENV_CAretenu_moins2">0</definedName>
    <definedName name="FBILCRENV_CAretenu_moins3">0</definedName>
    <definedName name="FBILCRENV_CAretenu_moins4">0</definedName>
    <definedName name="FBILCS_CAretenu_moins2">0</definedName>
    <definedName name="FBILCS_CAretenu_moins3">0</definedName>
    <definedName name="FBILCS_CAretenu_moins3_1">0</definedName>
    <definedName name="FBILCS_CAretenu_moins4">0</definedName>
    <definedName name="FBILCS1_CAretenu_moins2">0</definedName>
    <definedName name="FBILCS1_CAretenu_moins3">0</definedName>
    <definedName name="FBILCS1_CAretenu_moins3_1">0</definedName>
    <definedName name="FBILCS1_CAretenu_moins4">0</definedName>
    <definedName name="FBILCT_CAretenu_moins2">0</definedName>
    <definedName name="FBILCT_CAretenu_moins3">0</definedName>
    <definedName name="FBILCT_CAretenu_moins3_1">0</definedName>
    <definedName name="FBILCT_CAretenu_moins4">0</definedName>
    <definedName name="FBILCU_CAretenu_moins2">0</definedName>
    <definedName name="FBILCU_CAretenu_moins3">0</definedName>
    <definedName name="FBILCU_CAretenu_moins3_1">0</definedName>
    <definedName name="FBILCU_CAretenu_moins4">0</definedName>
    <definedName name="FBILCV_CAretenu_moins2">0</definedName>
    <definedName name="FBILCV_CAretenu_moins3">0</definedName>
    <definedName name="FBILCV_CAretenu_moins3_1">0</definedName>
    <definedName name="FBILCV_CAretenu_moins4">0</definedName>
    <definedName name="FBILDA_CAretenu_moins2">0</definedName>
    <definedName name="FBILDA_CAretenu_moins3">0</definedName>
    <definedName name="FBILDA_CAretenu_moins3_1">0</definedName>
    <definedName name="FBILDA_CAretenu_moins4">0</definedName>
    <definedName name="FBILDA1_CAretenu_moins2">0</definedName>
    <definedName name="FBILDA1_CAretenu_moins3">0</definedName>
    <definedName name="FBILDA1_CAretenu_moins4">0</definedName>
    <definedName name="FBILDA2_CAretenu_moins2">0</definedName>
    <definedName name="FBILDA2_CAretenu_moins3">0</definedName>
    <definedName name="FBILDA2_CAretenu_moins4">0</definedName>
    <definedName name="FBILDA3_CAretenu_moins2">0</definedName>
    <definedName name="FBILDA3_CAretenu_moins3">0</definedName>
    <definedName name="FBILDA3_CAretenu_moins4">0</definedName>
    <definedName name="FBILDA4_CAretenu_moins2">0</definedName>
    <definedName name="FBILDA4_CAretenu_moins3">0</definedName>
    <definedName name="FBILDA4_CAretenu_moins4">0</definedName>
    <definedName name="FBILDA5_CAretenu_moins2">0</definedName>
    <definedName name="FBILDA5_CAretenu_moins3">0</definedName>
    <definedName name="FBILDA5_CAretenu_moins4">0</definedName>
    <definedName name="FBILDB_CAretenu_moins2">0</definedName>
    <definedName name="FBILDB_CAretenu_moins3">0</definedName>
    <definedName name="FBILDB_CAretenu_moins3_1">0</definedName>
    <definedName name="FBILDB_CAretenu_moins4">0</definedName>
    <definedName name="FBILDC_CAretenu_moins2">0</definedName>
    <definedName name="FBILDC_CAretenu_moins3">0</definedName>
    <definedName name="FBILDC_CAretenu_moins3_1">0</definedName>
    <definedName name="FBILDC_CAretenu_moins4">0</definedName>
    <definedName name="FBILDCFIN1_CAretenu_moins2">0</definedName>
    <definedName name="FBILDCFIN1_CAretenu_moins3">0</definedName>
    <definedName name="FBILDCFIN1_CAretenu_moins4">0</definedName>
    <definedName name="FBILDCFIN2_CAretenu_moins2">0</definedName>
    <definedName name="FBILDCFIN2_CAretenu_moins3">0</definedName>
    <definedName name="FBILDCFIN2_CAretenu_moins4">0</definedName>
    <definedName name="FBILDD_CAretenu_moins2">0</definedName>
    <definedName name="FBILDD_CAretenu_moins3">0</definedName>
    <definedName name="FBILDD_CAretenu_moins3_1">0</definedName>
    <definedName name="FBILDD_CAretenu_moins4">0</definedName>
    <definedName name="FBILDE_CAretenu_moins2">0</definedName>
    <definedName name="FBILDE_CAretenu_moins3">0</definedName>
    <definedName name="FBILDE_CAretenu_moins3_1">0</definedName>
    <definedName name="FBILDE_CAretenu_moins4">0</definedName>
    <definedName name="FBILDF_CAretenu_moins2">0</definedName>
    <definedName name="FBILDF_CAretenu_moins3">0</definedName>
    <definedName name="FBILDF_CAretenu_moins3_1">0</definedName>
    <definedName name="FBILDF_CAretenu_moins4">0</definedName>
    <definedName name="FBILDG_CAretenu_moins2">0</definedName>
    <definedName name="FBILDG_CAretenu_moins3">0</definedName>
    <definedName name="FBILDG_CAretenu_moins3_1">0</definedName>
    <definedName name="FBILDG_CAretenu_moins4">0</definedName>
    <definedName name="FBILDH_CAretenu_moins2">0</definedName>
    <definedName name="FBILDH_CAretenu_moins3">0</definedName>
    <definedName name="FBILDH_CAretenu_moins3_1">0</definedName>
    <definedName name="FBILDH_CAretenu_moins4">0</definedName>
    <definedName name="FBILDI_CAretenu_moins2">0</definedName>
    <definedName name="FBILDI_CAretenu_moins3">0</definedName>
    <definedName name="FBILDI_CAretenu_moins3_1">0</definedName>
    <definedName name="FBILDI_CAretenu_moins4">0</definedName>
    <definedName name="FBILDJ_CAretenu_moins2">0</definedName>
    <definedName name="FBILDJ_CAretenu_moins3">0</definedName>
    <definedName name="FBILDJ_CAretenu_moins3_1">0</definedName>
    <definedName name="FBILDJ_CAretenu_moins4">0</definedName>
    <definedName name="FBILDK_CAretenu_moins2">0</definedName>
    <definedName name="FBILDK_CAretenu_moins3">0</definedName>
    <definedName name="FBILDK_CAretenu_moins3_1">0</definedName>
    <definedName name="FBILDK_CAretenu_moins4">0</definedName>
    <definedName name="FBILDL_CAretenu_moins2">0</definedName>
    <definedName name="FBILDL_CAretenu_moins3">0</definedName>
    <definedName name="FBILDL_CAretenu_moins3_1">0</definedName>
    <definedName name="FBILDL_CAretenu_moins4">0</definedName>
    <definedName name="FBILDL1_CAretenu_moins2">0</definedName>
    <definedName name="FBILDL1_CAretenu_moins3">0</definedName>
    <definedName name="FBILDL1_CAretenu_moins4">0</definedName>
    <definedName name="FBILDM_CAretenu_moins2">0</definedName>
    <definedName name="FBILDM_CAretenu_moins3">0</definedName>
    <definedName name="FBILDM_CAretenu_moins3_1">0</definedName>
    <definedName name="FBILDM_CAretenu_moins4">0</definedName>
    <definedName name="FBILDN_CAretenu_moins2">0</definedName>
    <definedName name="FBILDN_CAretenu_moins3">0</definedName>
    <definedName name="FBILDN_CAretenu_moins3_1">0</definedName>
    <definedName name="FBILDN_CAretenu_moins4">0</definedName>
    <definedName name="FBILEK_CAretenu_moins2">0</definedName>
    <definedName name="FBILEK_CAretenu_moins3">0</definedName>
    <definedName name="FBILEK_CAretenu_moins4">0</definedName>
    <definedName name="FBILEL_CAretenu_moins2">0</definedName>
    <definedName name="FBILEL_CAretenu_moins3">0</definedName>
    <definedName name="FBILEL_CAretenu_moins4">0</definedName>
    <definedName name="FBILEM_CAretenu_moins2">0</definedName>
    <definedName name="FBILEM_CAretenu_moins3">0</definedName>
    <definedName name="FBILEM_CAretenu_moins4">0</definedName>
    <definedName name="FBILFSTABL_CAretenu_moins2">0</definedName>
    <definedName name="FBILFSTABL_CAretenu_moins3">0</definedName>
    <definedName name="FBILFSTABL_CAretenu_moins4">0</definedName>
    <definedName name="FBILFSTABLI_CAretenu_moins2">0</definedName>
    <definedName name="FBILFSTABLI_CAretenu_moins3">0</definedName>
    <definedName name="FBILFSTABLI_CAretenu_moins4">0</definedName>
    <definedName name="FBILICNE_CAretenu_moins2">0</definedName>
    <definedName name="FBILICNE_CAretenu_moins3">0</definedName>
    <definedName name="FBILICNE_CAretenu_moins4">0</definedName>
    <definedName name="FBILLIGTRES_CAretenu_moins2">0</definedName>
    <definedName name="FBILLIGTRES_CAretenu_moins3">0</definedName>
    <definedName name="FBILLIGTRES_CAretenu_moins4">0</definedName>
    <definedName name="FBILMAJPROT_CAretenu_moins2">0</definedName>
    <definedName name="FBILMAJPROT_CAretenu_moins3">0</definedName>
    <definedName name="FBILMAJPROT_CAretenu_moins4">0</definedName>
    <definedName name="FBILREALIM_CAretenu_moins2">0</definedName>
    <definedName name="FBILREALIM_CAretenu_moins3">0</definedName>
    <definedName name="FBILREALIM_CAretenu_moins4">0</definedName>
    <definedName name="FCapDuAnneePrec">0</definedName>
    <definedName name="FCapDuAnneePrec_MN">0</definedName>
    <definedName name="FCapVerseN">0</definedName>
    <definedName name="FCapVerseN_MN">0</definedName>
    <definedName name="FCOMPTES603P_dep_BEXN0">0</definedName>
    <definedName name="FCOMPTES603P_dep_CAPN0">0</definedName>
    <definedName name="FCOMPTES603P_dep_CARN0">0</definedName>
    <definedName name="FCOMPTES603P_dep_CARN1">0</definedName>
    <definedName name="FCOMPTES603P_dep_DM1N0">0</definedName>
    <definedName name="FCOMPTES603P_soi_BEXN0">0</definedName>
    <definedName name="FCOMPTES603P_soi_CAPN0">0</definedName>
    <definedName name="FCOMPTES603P_soi_CARN0">0</definedName>
    <definedName name="FCOMPTES603P_soi_CARN1">0</definedName>
    <definedName name="FCOMPTES603P_soi_DM1N0">0</definedName>
    <definedName name="FCOMPTES609P_dep_BEXN0">0</definedName>
    <definedName name="FCOMPTES609P_dep_CAPN0">0</definedName>
    <definedName name="FCOMPTES609P_dep_CARN0">0</definedName>
    <definedName name="FCOMPTES609P_dep_CARN1">0</definedName>
    <definedName name="FCOMPTES609P_dep_DM1N0">0</definedName>
    <definedName name="FCOMPTES609P_soi_BEXN0">0</definedName>
    <definedName name="FCOMPTES609P_soi_CAPN0">0</definedName>
    <definedName name="FCOMPTES609P_soi_CARN0">0</definedName>
    <definedName name="FCOMPTES609P_soi_CARN1">0</definedName>
    <definedName name="FCOMPTES609P_soi_DM1N0">0</definedName>
    <definedName name="FCOMPTES619P_dep_BEXN0">0</definedName>
    <definedName name="FCOMPTES619P_dep_CAPN0">0</definedName>
    <definedName name="FCOMPTES619P_dep_CARN0">0</definedName>
    <definedName name="FCOMPTES619P_dep_CARN1">0</definedName>
    <definedName name="FCOMPTES619P_dep_DM1N0">0</definedName>
    <definedName name="FCOMPTES619P_soi_BEXN0">0</definedName>
    <definedName name="FCOMPTES619P_soi_CAPN0">0</definedName>
    <definedName name="FCOMPTES619P_soi_CARN0">0</definedName>
    <definedName name="FCOMPTES619P_soi_CARN1">0</definedName>
    <definedName name="FCOMPTES619P_soi_DM1N0">0</definedName>
    <definedName name="FCOMPTES629P_dep_BEXN0">0</definedName>
    <definedName name="FCOMPTES629P_dep_CAPN0">0</definedName>
    <definedName name="FCOMPTES629P_dep_CARN0">0</definedName>
    <definedName name="FCOMPTES629P_dep_CARN1">0</definedName>
    <definedName name="FCOMPTES629P_dep_DM1N0">0</definedName>
    <definedName name="FCOMPTES629P_soi_BEXN0">0</definedName>
    <definedName name="FCOMPTES629P_soi_CAPN0">0</definedName>
    <definedName name="FCOMPTES629P_soi_CARN0">0</definedName>
    <definedName name="FCOMPTES629P_soi_CARN1">0</definedName>
    <definedName name="FCOMPTES629P_soi_DM1N0">0</definedName>
    <definedName name="FCOMPTES6419P_dep_BEXN0">0</definedName>
    <definedName name="FCOMPTES6419P_dep_CAPN0">0</definedName>
    <definedName name="FCOMPTES6419P_dep_CARN0">0</definedName>
    <definedName name="FCOMPTES6419P_dep_CARN1">0</definedName>
    <definedName name="FCOMPTES6419P_dep_DM1N0">0</definedName>
    <definedName name="FCOMPTES6419P_soi_BEXN0">0</definedName>
    <definedName name="FCOMPTES6419P_soi_CAPN0">0</definedName>
    <definedName name="FCOMPTES6419P_soi_CARN0">0</definedName>
    <definedName name="FCOMPTES6419P_soi_CARN1">0</definedName>
    <definedName name="FCOMPTES6419P_soi_DM1N0">0</definedName>
    <definedName name="FCOMPTES6429P_dep_BEXN0">0</definedName>
    <definedName name="FCOMPTES6429P_dep_CAPN0">0</definedName>
    <definedName name="FCOMPTES6429P_dep_CARN0">0</definedName>
    <definedName name="FCOMPTES6429P_dep_CARN1">0</definedName>
    <definedName name="FCOMPTES6429P_dep_DM1N0">0</definedName>
    <definedName name="FCOMPTES6429P_soi_BEXN0">0</definedName>
    <definedName name="FCOMPTES6429P_soi_CAPN0">0</definedName>
    <definedName name="FCOMPTES6429P_soi_CARN0">0</definedName>
    <definedName name="FCOMPTES6429P_soi_CARN1">0</definedName>
    <definedName name="FCOMPTES6429P_soi_DM1N0">0</definedName>
    <definedName name="FCOMPTES6489P_dep_BEXN0">0</definedName>
    <definedName name="FCOMPTES6489P_dep_CAPN0">0</definedName>
    <definedName name="FCOMPTES6489P_dep_CARN0">0</definedName>
    <definedName name="FCOMPTES6489P_dep_CARN1">0</definedName>
    <definedName name="FCOMPTES6489P_dep_DM1N0">0</definedName>
    <definedName name="FCOMPTES6489P_soi_BEXN0">0</definedName>
    <definedName name="FCOMPTES6489P_soi_CAPN0">0</definedName>
    <definedName name="FCOMPTES6489P_soi_CARN0">0</definedName>
    <definedName name="FCOMPTES6489P_soi_CARN1">0</definedName>
    <definedName name="FCOMPTES6489P_soi_DM1N0">0</definedName>
    <definedName name="FCOMPTES6611P_dep_BEXN0">0</definedName>
    <definedName name="FCOMPTES6611P_dep_CAPN0">0</definedName>
    <definedName name="FCOMPTES6611P_dep_CARN0">0</definedName>
    <definedName name="FCOMPTES6611P_dep_CARN1">0</definedName>
    <definedName name="FCOMPTES6611P_dep_DM1N0">0</definedName>
    <definedName name="FCOMPTES6611P_soi_BEXN0">0</definedName>
    <definedName name="FCOMPTES6611P_soi_CAPN0">0</definedName>
    <definedName name="FCOMPTES6611P_soi_CARN0">0</definedName>
    <definedName name="FCOMPTES6611P_soi_CARN1">0</definedName>
    <definedName name="FCOMPTES6611P_soi_DM1N0">0</definedName>
    <definedName name="FCOMPTES709D_dep_BEXN0">0</definedName>
    <definedName name="FCOMPTES709D_dep_CAPN0">0</definedName>
    <definedName name="FCOMPTES709D_dep_CARN0">0</definedName>
    <definedName name="FCOMPTES709D_dep_CARN1">0</definedName>
    <definedName name="FCOMPTES709D_dep_DM1N0">0</definedName>
    <definedName name="FCOMPTES709D_soi_BEXN0">0</definedName>
    <definedName name="FCOMPTES709D_soi_CAPN0">0</definedName>
    <definedName name="FCOMPTES709D_soi_CARN0">0</definedName>
    <definedName name="FCOMPTES709D_soi_CARN1">0</definedName>
    <definedName name="FCOMPTES709D_soi_DM1N0">0</definedName>
    <definedName name="FCOMPTES713D_dep_BEXN0">0</definedName>
    <definedName name="FCOMPTES713D_dep_CAPN0">0</definedName>
    <definedName name="FCOMPTES713D_dep_CARN0">0</definedName>
    <definedName name="FCOMPTES713D_dep_CARN1">0</definedName>
    <definedName name="FCOMPTES713D_dep_DM1N0">0</definedName>
    <definedName name="FCOMPTES713D_soi_BEXN0">0</definedName>
    <definedName name="FCOMPTES713D_soi_CAPN0">0</definedName>
    <definedName name="FCOMPTES713D_soi_CARN0">0</definedName>
    <definedName name="FCOMPTES713D_soi_CARN1">0</definedName>
    <definedName name="FCOMPTES713D_soi_DM1N0">0</definedName>
    <definedName name="FDateDebut">" "</definedName>
    <definedName name="FDateDebut_MN">" "</definedName>
    <definedName name="FDurée">0</definedName>
    <definedName name="FDurée_MN">0</definedName>
    <definedName name="FETPGestAD_CAretenu_moins1">0</definedName>
    <definedName name="FETPGestAD0">0</definedName>
    <definedName name="FETPGestADB_CAretenu_moins1">0</definedName>
    <definedName name="FETPGestADB0">0</definedName>
    <definedName name="FETPGestADBmoins1">0</definedName>
    <definedName name="FETPGestADM_CAretenu_moins1">0</definedName>
    <definedName name="FETPGestADM0">0</definedName>
    <definedName name="FETPGestADMGES_BEXN1">0</definedName>
    <definedName name="FETPGestADMGES_BPN0">0</definedName>
    <definedName name="FETPGestADMGES_BRN0">0</definedName>
    <definedName name="FETPGestADMmoins1">0</definedName>
    <definedName name="FETPGestADmoins1">0</definedName>
    <definedName name="FETPGestAID_CAretenu_moins1">0</definedName>
    <definedName name="FETPGestAID0">0</definedName>
    <definedName name="FETPGestAIDmoins1">0</definedName>
    <definedName name="FETPGestAMP_CAretenu_moins1">0</definedName>
    <definedName name="FETPGestANI_CAretenu_moins1">0</definedName>
    <definedName name="FETPGestASH_CAretenu_moins1">0</definedName>
    <definedName name="FETPGestASS_CAretenu_moins1">0</definedName>
    <definedName name="FETPGestAUE_CAretenu_moins1">0</definedName>
    <definedName name="FETPGestAUP_CAretenu_moins1">0</definedName>
    <definedName name="FETPGestAUP0">0</definedName>
    <definedName name="FETPGestAUPmoins1">0</definedName>
    <definedName name="FETPGestAUT_CAretenu_moins1">0</definedName>
    <definedName name="FETPGestAUT0">0</definedName>
    <definedName name="FETPGestAUTmoins1">0</definedName>
    <definedName name="FETPGestAVS_CAretenu_moins1">0</definedName>
    <definedName name="FETPGestAVS0">0</definedName>
    <definedName name="FETPGestAVSmoins1">0</definedName>
    <definedName name="FETPGestCOM_CAretenu_moins1">0</definedName>
    <definedName name="FETPGestCSE_CAretenu_moins1">0</definedName>
    <definedName name="FETPGestCUI_CAretenu_moins1">0</definedName>
    <definedName name="FETPGestDET_CAretenu_moins1">0</definedName>
    <definedName name="FETPGestDIR_CAretenu_moins1">0</definedName>
    <definedName name="FETPGestDIR0">0</definedName>
    <definedName name="FETPGestDIRmoins1">0</definedName>
    <definedName name="FETPGestEDS_CAretenu_moins1">0</definedName>
    <definedName name="FETPGestEDT_CAretenu_moins1">0</definedName>
    <definedName name="FETPGestEDU_CAretenu_moins1">0</definedName>
    <definedName name="FETPGestEEN_CAretenu_moins1">0</definedName>
    <definedName name="FETPGestENC_CAretenu_moins1">0</definedName>
    <definedName name="FETPGestENC0">0</definedName>
    <definedName name="FETPGestENCDIR_BEXN1">0</definedName>
    <definedName name="FETPGestENCDIR_BPN0">0</definedName>
    <definedName name="FETPGestENCDIR_BRN0">0</definedName>
    <definedName name="FETPGestENCmoins1">0</definedName>
    <definedName name="FETPGestESP_CAretenu_moins1">0</definedName>
    <definedName name="FETPGestGES_CAretenu_moins1">0</definedName>
    <definedName name="FETPGestLIN_CAretenu_moins1">0</definedName>
    <definedName name="FETPGestMDM_CAretenu_moins1">0</definedName>
    <definedName name="FETPGestMED_CAretenu_moins1">0</definedName>
    <definedName name="FETPGestMEDPARPSY_BEXN1">0</definedName>
    <definedName name="FETPGestMEDPARPSY_BPN0">0</definedName>
    <definedName name="FETPGestMEDPARPSY_BRN0">0</definedName>
    <definedName name="FETPGestMEN_CAretenu_moins1">0</definedName>
    <definedName name="FETPGestMOE_CAretenu_moins1">0</definedName>
    <definedName name="FETPGestOUE_CAretenu_moins1">0</definedName>
    <definedName name="FETPGestPAR_BEXN1">0</definedName>
    <definedName name="FETPGestPAR_BPN0">0</definedName>
    <definedName name="FETPGestPAR_BRN0">0</definedName>
    <definedName name="FETPGestPAR_CAretenu_moins1">0</definedName>
    <definedName name="FETPGestPSY_BEXN1">0</definedName>
    <definedName name="FETPGestPSY_BPN0">0</definedName>
    <definedName name="FETPGestPSY_BRN0">0</definedName>
    <definedName name="FETPGestPSY_CAretenu_moins1">0</definedName>
    <definedName name="FETPGestPSY0">0</definedName>
    <definedName name="FETPGestPSYmoins1">0</definedName>
    <definedName name="FETPGestRES_CAretenu_moins1">0</definedName>
    <definedName name="FETPGestRTT_CAretenu_moins1">0</definedName>
    <definedName name="FETPGestSER_CAretenu_moins1">0</definedName>
    <definedName name="FETPGestSER0">0</definedName>
    <definedName name="FETPGestSERmoins1">0</definedName>
    <definedName name="FETPGestSOCEDU_BEXN1">0</definedName>
    <definedName name="FETPGestSOCEDU_BPN0">0</definedName>
    <definedName name="FETPGestSOCEDU_BRN0">0</definedName>
    <definedName name="FETPGestVDN_CAretenu_moins1">0</definedName>
    <definedName name="FETPTPGestAD_CAproposé">0</definedName>
    <definedName name="FETPTPGestADB_CAproposé">0</definedName>
    <definedName name="FETPTPGestADM_CAproposé">0</definedName>
    <definedName name="FETPTPGestADMGES_BEXN1">0</definedName>
    <definedName name="FETPTPGestAID_CAproposé">0</definedName>
    <definedName name="FETPTPGestAMP_CAproposé">0</definedName>
    <definedName name="FETPTPGestANI_CAproposé">0</definedName>
    <definedName name="FETPTPGestASH_CAproposé">0</definedName>
    <definedName name="FETPTPGestASS_CAproposé">0</definedName>
    <definedName name="FETPTPGestAUE_CAproposé">0</definedName>
    <definedName name="FETPTPGestAUP_CAproposé">0</definedName>
    <definedName name="FETPTPGestAUT_CAproposé">0</definedName>
    <definedName name="FETPTPGestAVS_CAproposé">0</definedName>
    <definedName name="FETPTPGestCOM_CAproposé">0</definedName>
    <definedName name="FETPTPGestCSE_CAproposé">0</definedName>
    <definedName name="FETPTPGestCUI_CAproposé">0</definedName>
    <definedName name="FETPTPGestDET_CAproposé">0</definedName>
    <definedName name="FETPTPGestDIR_CAproposé">0</definedName>
    <definedName name="FETPTPGestEDS_CAproposé">0</definedName>
    <definedName name="FETPTPGestEDT_CAproposé">0</definedName>
    <definedName name="FETPTPGestEDU_CAproposé">0</definedName>
    <definedName name="FETPTPGestEEN_CAproposé">0</definedName>
    <definedName name="FETPTPGestENC_CAproposé">0</definedName>
    <definedName name="FETPTPGestENCDIR_BEXN1">0</definedName>
    <definedName name="FETPTPGestESP_CAproposé">0</definedName>
    <definedName name="FETPTPGestGES_CAproposé">0</definedName>
    <definedName name="FETPTPGestLIN_CAproposé">0</definedName>
    <definedName name="FETPTPGestMDM_CAproposé">0</definedName>
    <definedName name="FETPTPGestMED_CAproposé">0</definedName>
    <definedName name="FETPTPGestMEDPARPSY_BEXN1">0</definedName>
    <definedName name="FETPTPGestMEN_CAproposé">0</definedName>
    <definedName name="FETPTPGestMOE_CAproposé">0</definedName>
    <definedName name="FETPTPGestOUE_CAproposé">0</definedName>
    <definedName name="FETPTPGestPAR_BEXN1">0</definedName>
    <definedName name="FETPTPGestPAR_CAproposé">0</definedName>
    <definedName name="FETPTPGestPSY_BEXN1">0</definedName>
    <definedName name="FETPTPGestPSY_CAproposé">0</definedName>
    <definedName name="FETPTPGestRES_CAproposé">0</definedName>
    <definedName name="FETPTPGestRTT_CAproposé">0</definedName>
    <definedName name="FETPTPGestSER_CAproposé">0</definedName>
    <definedName name="FETPTPGestSOCEDU_BEXN1">0</definedName>
    <definedName name="FETPTPGestVDN_CAproposé">0</definedName>
    <definedName name="FGROUPE1_Budgetret">0</definedName>
    <definedName name="FGROUPE1_Mesuresno_">0</definedName>
    <definedName name="FGROUPE1PRO_Budgetret">0</definedName>
    <definedName name="FGROUPE1PRO_CAproposé_Dép">0</definedName>
    <definedName name="FGROUPE1PRO_CAproposé_Soi">0</definedName>
    <definedName name="FGROUPE2_Budgetret">0</definedName>
    <definedName name="FGROUPE2_Mesuresno_">0</definedName>
    <definedName name="FGROUPE2PRO_Budgetret">0</definedName>
    <definedName name="FGROUPE3_Budgetret">0</definedName>
    <definedName name="FGROUPE3_Mesuresno_">0</definedName>
    <definedName name="FGROUPE3PRO_Budgetret">0</definedName>
    <definedName name="FHEURESFACT_AD">0</definedName>
    <definedName name="FHEURESFACT_AVS">0</definedName>
    <definedName name="FHEURESFACT_TISF">0</definedName>
    <definedName name="FHEURESFACT0">0</definedName>
    <definedName name="FHEURESFACTmoins1">0</definedName>
    <definedName name="FHEURESFACTmoins1_1">0</definedName>
    <definedName name="FInitCatalog">0</definedName>
    <definedName name="FInteretDusAnneePrec">0</definedName>
    <definedName name="FInteretDusAnneePrec_MN">0</definedName>
    <definedName name="FIntSecurity">0</definedName>
    <definedName name="FIntVerseN">0</definedName>
    <definedName name="FIntVerseN_MN">0</definedName>
    <definedName name="FJourPrevGIR1_Dép">0</definedName>
    <definedName name="FJourPrevGIR2_Dép">0</definedName>
    <definedName name="FJourPrevGIR3_Dép">0</definedName>
    <definedName name="FJourPrevGIR4_Dép">0</definedName>
    <definedName name="FJourPrevGIR5_Dép">0</definedName>
    <definedName name="FJourPrevGIR6_Dép">0</definedName>
    <definedName name="FMontant">0</definedName>
    <definedName name="FMontant_MN">0</definedName>
    <definedName name="FOrgPreteur">" "</definedName>
    <definedName name="FOrgPreteur_MN">" "</definedName>
    <definedName name="FPassword">0</definedName>
    <definedName name="FPPIAM_Simulatio">0</definedName>
    <definedName name="FPPIAM_Simulatio_1">0</definedName>
    <definedName name="FPPIAM_Simulatio_2">0</definedName>
    <definedName name="FPPIAM_Simulatio_3">0</definedName>
    <definedName name="FPPIAM_Simulatio_4">0</definedName>
    <definedName name="FPPIFF_Simulatio">0</definedName>
    <definedName name="FPPIFF_Simulatio_1">0</definedName>
    <definedName name="FPPIFF_Simulatio_2">0</definedName>
    <definedName name="FPPIFF_Simulatio_3">0</definedName>
    <definedName name="FPPIFF_Simulatio_4">0</definedName>
    <definedName name="FPPIR281NV_Simulatio">0</definedName>
    <definedName name="FPPIR281NV_Simulatio_1">0</definedName>
    <definedName name="FPPIR281NV_Simulatio_2">0</definedName>
    <definedName name="FPPIR281NV_Simulatio_3">0</definedName>
    <definedName name="FPPIR281NV_Simulatio_4">0</definedName>
    <definedName name="FProvider">0</definedName>
    <definedName name="FRE_Dép_CARN0">0</definedName>
    <definedName name="FRE_Héb_CARN0">0</definedName>
    <definedName name="FRE_Soi_CARN0">0</definedName>
    <definedName name="FRECETTESATTEN_Dép">0</definedName>
    <definedName name="FRECETTESATTEN_Héb">0</definedName>
    <definedName name="FRECETTESATTEN_Soi">0</definedName>
    <definedName name="FResIncorp">0</definedName>
    <definedName name="FResIncorp_Budgetpro">0</definedName>
    <definedName name="FResIncorp_Dép">0</definedName>
    <definedName name="FResIncorp_Héb">0</definedName>
    <definedName name="FResIncorp_Soi">0</definedName>
    <definedName name="FSalAnim_Hébergement">0</definedName>
    <definedName name="FSalAnim0">0</definedName>
    <definedName name="FSalAnimExt_Dépendance">0</definedName>
    <definedName name="FSalAnimExt_Hébergement">0</definedName>
    <definedName name="FSalAnimExt_Soins">0</definedName>
    <definedName name="FSalAnimExt0">0</definedName>
    <definedName name="FSalAS_Dépendance">0</definedName>
    <definedName name="FSalAS_Soins">0</definedName>
    <definedName name="FSalAS0">0</definedName>
    <definedName name="FSalASExt_Dépendance">0</definedName>
    <definedName name="FSalASExt_Hébergement">0</definedName>
    <definedName name="FSalASExt_Soins">0</definedName>
    <definedName name="FSalASExt0">0</definedName>
    <definedName name="FSalASH_Dépendance">0</definedName>
    <definedName name="FSalASH_Hébergement">0</definedName>
    <definedName name="FSalASH0">0</definedName>
    <definedName name="FSalASHExt_Dépendance">0</definedName>
    <definedName name="FSalASHExt_Hébergement">0</definedName>
    <definedName name="FSalASHExt_Soins">0</definedName>
    <definedName name="FSalASHExt0">0</definedName>
    <definedName name="FSalaux_Soins">0</definedName>
    <definedName name="FSalaux0">0</definedName>
    <definedName name="FSalAuxExt_Dépendance">0</definedName>
    <definedName name="FSalAuxExt_Hébergement">0</definedName>
    <definedName name="FSalAuxExt_Soins">0</definedName>
    <definedName name="FSalAuxExt0">0</definedName>
    <definedName name="FSalCui_Hébergement">0</definedName>
    <definedName name="FSalCui0">0</definedName>
    <definedName name="FSalCuiExt_Dépendance">0</definedName>
    <definedName name="FSalCuiExt_Hébergement">0</definedName>
    <definedName name="FSalCuiExt_Soins">0</definedName>
    <definedName name="FSalCuiExt0">0</definedName>
    <definedName name="FSalDir_Hébergement">0</definedName>
    <definedName name="FSalDir0">0</definedName>
    <definedName name="FSalDirExt_Dépendance">0</definedName>
    <definedName name="FSalDirExt_Hébergement">0</definedName>
    <definedName name="FSalDirExt_Soins">0</definedName>
    <definedName name="FSalDirExt0">0</definedName>
    <definedName name="FSalGestAD0">0</definedName>
    <definedName name="FSalGestADB0">0</definedName>
    <definedName name="FSalGestADBmoins1">0</definedName>
    <definedName name="FSalGestADM0">0</definedName>
    <definedName name="FSalGestADMmoins1">0</definedName>
    <definedName name="FSalGestADmoins1">0</definedName>
    <definedName name="FSalGestAID0">0</definedName>
    <definedName name="FSalGestAIDmoins1">0</definedName>
    <definedName name="FSalGestAUP0">0</definedName>
    <definedName name="FSalGestAUPmoins1">0</definedName>
    <definedName name="FSalGestAUT0">0</definedName>
    <definedName name="FSalGestAUTmoins1">0</definedName>
    <definedName name="FSalGestAVS0">0</definedName>
    <definedName name="FSalGestAVSmoins1">0</definedName>
    <definedName name="FSalGestDIR0">0</definedName>
    <definedName name="FSalGestDIRmoins1">0</definedName>
    <definedName name="FSalGestENC0">0</definedName>
    <definedName name="FSalGestENCmoins1">0</definedName>
    <definedName name="FSalGestPSY0">0</definedName>
    <definedName name="FSalGestPSYmoins1">0</definedName>
    <definedName name="FSalGestSER0">0</definedName>
    <definedName name="FSalGestSERmoins1">0</definedName>
    <definedName name="FSalInf_Soins">0</definedName>
    <definedName name="FSalInf0">0</definedName>
    <definedName name="FSalInfExt_Dépendance">0</definedName>
    <definedName name="FSalInfExt_Hébergement">0</definedName>
    <definedName name="FSalInfExt_Soins">0</definedName>
    <definedName name="FSalInfExt0">0</definedName>
    <definedName name="FSalMed_Soins">0</definedName>
    <definedName name="FSalMed0">0</definedName>
    <definedName name="FSalMedExt_Dépendance">0</definedName>
    <definedName name="FSalMedExt_Hébergement">0</definedName>
    <definedName name="FSalMedExt_Soins">0</definedName>
    <definedName name="FSalMedExt0">0</definedName>
    <definedName name="FSalPha_Soins">0</definedName>
    <definedName name="FSalPha0">0</definedName>
    <definedName name="FSalPhaExt_Dépendance">0</definedName>
    <definedName name="FSalPhaExt_Hébergement">0</definedName>
    <definedName name="FSalPhaExt_Soins">0</definedName>
    <definedName name="FSalPhaExt0">0</definedName>
    <definedName name="FSalPsy_Dépendance">0</definedName>
    <definedName name="FSalPsy0">0</definedName>
    <definedName name="FSalPsyExt_Dépendance">0</definedName>
    <definedName name="FSalPsyExt_Hébergement">0</definedName>
    <definedName name="FSalPsyExt_Soins">0</definedName>
    <definedName name="FSalPsyExt0">0</definedName>
    <definedName name="FTarifExt_Budgetpro_">0</definedName>
    <definedName name="FTarifExt_Budgetret_">0</definedName>
    <definedName name="FTarifInt_Budgetpro_">0</definedName>
    <definedName name="FTarifInt_Budgetret_">0</definedName>
    <definedName name="FTarifIntScol_Budgetpro_">0</definedName>
    <definedName name="FTarifIntScol_Budgetret_">0</definedName>
    <definedName name="FTarifSemiInt_Budgetpro_">0</definedName>
    <definedName name="FTarifSemiInt_Budgetret_">0</definedName>
    <definedName name="FTaux">0</definedName>
    <definedName name="FTaux_MN">0</definedName>
    <definedName name="FTotETPGest_Budgetexe">0</definedName>
    <definedName name="FTOTGENGROUPED_Budgetexé">0</definedName>
    <definedName name="FTOTGENGROUPEP_CAproposé">0</definedName>
    <definedName name="FUserID">0</definedName>
    <definedName name="GCapDuAnneePrec">0</definedName>
    <definedName name="GCapDuAnneePrec_MN">0</definedName>
    <definedName name="GCapVerseN">0</definedName>
    <definedName name="GCapVerseN_MN">0</definedName>
    <definedName name="GDateDebut">" "</definedName>
    <definedName name="GDateDebut_MN">" "</definedName>
    <definedName name="GDurée">0</definedName>
    <definedName name="GDurée_MN">0</definedName>
    <definedName name="GInteretDusAnneePrec">0</definedName>
    <definedName name="GInteretDusAnneePrec_MN">0</definedName>
    <definedName name="GIntVerseN">0</definedName>
    <definedName name="GIntVerseN_MN">0</definedName>
    <definedName name="GMontant">0</definedName>
    <definedName name="GMontant_MN">0</definedName>
    <definedName name="GOrgPreteur">" "</definedName>
    <definedName name="GOrgPreteur_MN">" "</definedName>
    <definedName name="GPACHATSBEXN0">0</definedName>
    <definedName name="GPACHATSBEXN1">0</definedName>
    <definedName name="GPACHATSBPPN0">0</definedName>
    <definedName name="GPACHATSBPPNAD">0</definedName>
    <definedName name="GPACHATSBPPNAVS">0</definedName>
    <definedName name="GPACHATSBPPNENC">0</definedName>
    <definedName name="GPACHATSBPPNTISF">0</definedName>
    <definedName name="GPACHATSBRN0">0</definedName>
    <definedName name="GPACHATSCARN2">0</definedName>
    <definedName name="GPACHATSMSNN0">0</definedName>
    <definedName name="GPAUTCHAGESTBEXN0">0</definedName>
    <definedName name="GPAUTCHAGESTBEXN1">0</definedName>
    <definedName name="GPAUTCHAGESTBPPN0">0</definedName>
    <definedName name="GPAUTCHAGESTBPPNAD">0</definedName>
    <definedName name="GPAUTCHAGESTBPPNAVS">0</definedName>
    <definedName name="GPAUTCHAGESTBPPNENC">0</definedName>
    <definedName name="GPAUTCHAGESTBPPNTISF">0</definedName>
    <definedName name="GPAUTCHAGESTBRN0">0</definedName>
    <definedName name="GPAUTCHAGESTCARN2">0</definedName>
    <definedName name="GPAUTCHAGESTMSNN0">0</definedName>
    <definedName name="GPAUTPRODBEXN0">0</definedName>
    <definedName name="GPAUTPRODBEXN1">0</definedName>
    <definedName name="GPAUTPRODBPPN0">0</definedName>
    <definedName name="GPAUTPRODBPPNAD">0</definedName>
    <definedName name="GPAUTPRODBPPNAVS">0</definedName>
    <definedName name="GPAUTPRODBPPNENC">0</definedName>
    <definedName name="GPAUTPRODBPPNTISF">0</definedName>
    <definedName name="GPAUTPRODBRN0">0</definedName>
    <definedName name="GPAUTPRODCARN2">0</definedName>
    <definedName name="GPAUTPRODMSNN0">0</definedName>
    <definedName name="GPAUTSEREXBEXN0">0</definedName>
    <definedName name="GPAUTSEREXBEXN1">0</definedName>
    <definedName name="GPAUTSEREXBPPN0">0</definedName>
    <definedName name="GPAUTSEREXBPPNAD">0</definedName>
    <definedName name="GPAUTSEREXBPPNAVS">0</definedName>
    <definedName name="GPAUTSEREXBPPNENC">0</definedName>
    <definedName name="GPAUTSEREXBPPNTISF">0</definedName>
    <definedName name="GPAUTSEREXBRN0">0</definedName>
    <definedName name="GPAUTSEREXCARN2">0</definedName>
    <definedName name="GPAUTSEREXMSNN0">0</definedName>
    <definedName name="GPCHAEXEPBEXN0">0</definedName>
    <definedName name="GPCHAEXEPBEXN1">0</definedName>
    <definedName name="GPCHAEXEPBPPN0">0</definedName>
    <definedName name="GPCHAEXEPBPPNAD">0</definedName>
    <definedName name="GPCHAEXEPBPPNAVS">0</definedName>
    <definedName name="GPCHAEXEPBPPNENC">0</definedName>
    <definedName name="GPCHAEXEPBPPNTISF">0</definedName>
    <definedName name="GPCHAEXEPBRN0">0</definedName>
    <definedName name="GPCHAEXEPCARN2">0</definedName>
    <definedName name="GPCHAEXEPMSNN0">0</definedName>
    <definedName name="GPDOTAMOPROVBEXN0">0</definedName>
    <definedName name="GPDOTAMOPROVBEXN1">0</definedName>
    <definedName name="GPDOTAMOPROVBPPN0">0</definedName>
    <definedName name="GPDOTAMOPROVBPPNAD">0</definedName>
    <definedName name="GPDOTAMOPROVBPPNAVS">0</definedName>
    <definedName name="GPDOTAMOPROVBPPNENC">0</definedName>
    <definedName name="GPDOTAMOPROVBPPNTISF">0</definedName>
    <definedName name="GPDOTAMOPROVBRN0">0</definedName>
    <definedName name="GPDOTAMOPROVCARN2">0</definedName>
    <definedName name="GPDOTAMOPROVMSNN0">0</definedName>
    <definedName name="GPPRODEXEPBEXN0">0</definedName>
    <definedName name="GPPRODEXEPBEXN1">0</definedName>
    <definedName name="GPPRODEXEPBPPN0">0</definedName>
    <definedName name="GPPRODEXEPBPPNAD">0</definedName>
    <definedName name="GPPRODEXEPBPPNAVS">0</definedName>
    <definedName name="GPPRODEXEPBPPNENC">0</definedName>
    <definedName name="GPPRODEXEPBPPNTISF">0</definedName>
    <definedName name="GPPRODEXEPBRN0">0</definedName>
    <definedName name="GPPRODEXEPCARN2">0</definedName>
    <definedName name="GPPRODEXEPMSNN0">0</definedName>
    <definedName name="GPSERVEXTBEXN0">0</definedName>
    <definedName name="GPSERVEXTBEXN1">0</definedName>
    <definedName name="GPSERVEXTBPPN0">0</definedName>
    <definedName name="GPSERVEXTBPPNAD">0</definedName>
    <definedName name="GPSERVEXTBPPNAVS">0</definedName>
    <definedName name="GPSERVEXTBPPNENC">0</definedName>
    <definedName name="GPSERVEXTBPPNTISF">0</definedName>
    <definedName name="GPSERVEXTBRN0">0</definedName>
    <definedName name="GPSERVEXTCARN2">0</definedName>
    <definedName name="GPSERVEXTMSNN0">0</definedName>
    <definedName name="Groupe_IBEXN0">0</definedName>
    <definedName name="Groupe_IBEXN1">0</definedName>
    <definedName name="Groupe_IBPPN0">0</definedName>
    <definedName name="Groupe_IBPPNAD">0</definedName>
    <definedName name="Groupe_IBPPNAVS">0</definedName>
    <definedName name="Groupe_IBPPNENC">0</definedName>
    <definedName name="Groupe_IBPPNTISF">0</definedName>
    <definedName name="Groupe_IBRN0">0</definedName>
    <definedName name="Groupe_ICARN2">0</definedName>
    <definedName name="Groupe_IIBEXN0">0</definedName>
    <definedName name="Groupe_IIBEXN1">0</definedName>
    <definedName name="Groupe_IIBPPN0">0</definedName>
    <definedName name="Groupe_IIBPPNAD">0</definedName>
    <definedName name="Groupe_IIBPPNAVS">0</definedName>
    <definedName name="Groupe_IIBPPNENC">0</definedName>
    <definedName name="Groupe_IIBPPNTISF">0</definedName>
    <definedName name="Groupe_IIBRN0">0</definedName>
    <definedName name="Groupe_IICARN2">0</definedName>
    <definedName name="Groupe_IIIBEXN0">0</definedName>
    <definedName name="Groupe_IIIBEXN1">0</definedName>
    <definedName name="Groupe_IIIBPPN0">0</definedName>
    <definedName name="Groupe_IIIBPPNAD">0</definedName>
    <definedName name="Groupe_IIIBPPNAVS">0</definedName>
    <definedName name="Groupe_IIIBPPNENC">0</definedName>
    <definedName name="Groupe_IIIBPPNTISF">0</definedName>
    <definedName name="Groupe_IIIBRN0">0</definedName>
    <definedName name="Groupe_IIICARN2">0</definedName>
    <definedName name="Groupe_IIIMSNN0">0</definedName>
    <definedName name="Groupe_IIMSNN0">0</definedName>
    <definedName name="Groupe_IMSNN0">0</definedName>
    <definedName name="GROUPE2_Budgetexé">0</definedName>
    <definedName name="GROUPE2_CAproposé">0</definedName>
    <definedName name="GROUPE2_CAretenu_moins1">0</definedName>
    <definedName name="GROUPE2PRO_Budgetexé">0</definedName>
    <definedName name="GROUPE2PRO_CAproposé">0</definedName>
    <definedName name="GROUPE2PRO_CAretenu_moins1">0</definedName>
    <definedName name="GTaux">0</definedName>
    <definedName name="GTaux_MN">0</definedName>
    <definedName name="HCapDuAnneePrec">0</definedName>
    <definedName name="HCapDuAnneePrec_MN">0</definedName>
    <definedName name="HCapVerseN">0</definedName>
    <definedName name="HCapVerseN_MN">0</definedName>
    <definedName name="HDateDebut">" "</definedName>
    <definedName name="HDateDebut_MN">" "</definedName>
    <definedName name="HDurée">0</definedName>
    <definedName name="HDurée_MN">0</definedName>
    <definedName name="HInteretDusAnneePrec">0</definedName>
    <definedName name="HInteretDusAnneePrec_MN">0</definedName>
    <definedName name="HIntVerseN">0</definedName>
    <definedName name="HIntVerseN_MN">0</definedName>
    <definedName name="HMontant">0</definedName>
    <definedName name="HMontant_MN">0</definedName>
    <definedName name="HOrgPreteur">" "</definedName>
    <definedName name="HOrgPreteur_MN">" "</definedName>
    <definedName name="HTaux">0</definedName>
    <definedName name="HTaux_MN">0</definedName>
    <definedName name="ICapDuAnneePrec">0</definedName>
    <definedName name="ICapDuAnneePrec_MN">0</definedName>
    <definedName name="ICapVerseN">0</definedName>
    <definedName name="ICapVerseN_MN">0</definedName>
    <definedName name="IDateDebut">" "</definedName>
    <definedName name="IDateDebut_MN">" "</definedName>
    <definedName name="IDurée">0</definedName>
    <definedName name="IDurée_MN">0</definedName>
    <definedName name="IInteretDusAnneePrec">0</definedName>
    <definedName name="IInteretDusAnneePrec_MN">0</definedName>
    <definedName name="IIntVerseN">0</definedName>
    <definedName name="IIntVerseN_MN">0</definedName>
    <definedName name="IMontant">0</definedName>
    <definedName name="IMontant_MN">0</definedName>
    <definedName name="_xlnm.Print_Titles" localSheetId="13">'Plan pluriannuel de financement'!#REF!</definedName>
    <definedName name="_xlnm.Print_Titles">#N/A</definedName>
    <definedName name="Internat">0</definedName>
    <definedName name="InternatCARN2">0</definedName>
    <definedName name="INTERNATCAT_budget_propose_0_GLOBAL">0</definedName>
    <definedName name="INTERNATCAT_budget_retenu_0_GLOBAL">0</definedName>
    <definedName name="INTERNATCAT_ca_propose_0_GLOBAL">0</definedName>
    <definedName name="InternatDgN">0</definedName>
    <definedName name="INTERNATFOY_budget_propose_0_GLOBAL">0</definedName>
    <definedName name="INTERNATFOY_budget_retenu_0_GLOBAL">0</definedName>
    <definedName name="INTERNATFOY_ca_propose_0_GLOBAL">0</definedName>
    <definedName name="INTERNATMAS_budget_propose_0_GLOBAL">0</definedName>
    <definedName name="INTERNATMAS_budget_retenu_0_GLOBAL">0</definedName>
    <definedName name="INTERNATMAS_ca_propose_0_GLOBAL">0</definedName>
    <definedName name="IOrgPreteur">" "</definedName>
    <definedName name="IOrgPreteur_MN">" "</definedName>
    <definedName name="ITaux">0</definedName>
    <definedName name="ITaux_MN">0</definedName>
    <definedName name="JCapDuAnneePrec">0</definedName>
    <definedName name="JCapDuAnneePrec_MN">0</definedName>
    <definedName name="JCapVerseN">0</definedName>
    <definedName name="JCapVerseN_MN">0</definedName>
    <definedName name="JDateDebut">" "</definedName>
    <definedName name="JDateDebut_MN">" "</definedName>
    <definedName name="JDurée">0</definedName>
    <definedName name="JDurée_MN">0</definedName>
    <definedName name="JInteretDusAnneePrec">0</definedName>
    <definedName name="JInteretDusAnneePrec_MN">0</definedName>
    <definedName name="JIntVerseN">0</definedName>
    <definedName name="JIntVerseN_MN">0</definedName>
    <definedName name="JMontant">0</definedName>
    <definedName name="JMontant_MN">0</definedName>
    <definedName name="JOrgPreteur">" "</definedName>
    <definedName name="JOrgPreteur_MN">" "</definedName>
    <definedName name="JourPrevBEXN0">0</definedName>
    <definedName name="JourPrevBEXN1">0</definedName>
    <definedName name="JourPrevBPPN0">0</definedName>
    <definedName name="JourPrevBPPNAD">0</definedName>
    <definedName name="JourPrevBPPNAVS">0</definedName>
    <definedName name="JourPrevBPPNENC">0</definedName>
    <definedName name="JourPrevBPPNTISF">0</definedName>
    <definedName name="JourPrevBRN0">0</definedName>
    <definedName name="JourPrevCARN2">0</definedName>
    <definedName name="JourPrevMSNN0">0</definedName>
    <definedName name="JrsAAutre1">0</definedName>
    <definedName name="JRSAAUTRE1_budget_retenu_0_GLOBAL">0</definedName>
    <definedName name="JRSAAUTRE1_ca_propose_0_GLOBAL">0</definedName>
    <definedName name="JrsAAutre1BPPN">0</definedName>
    <definedName name="JrsAAutre1bprn">0</definedName>
    <definedName name="JrsAAutre1BPRN1">0</definedName>
    <definedName name="JrsAAutre1CARN2">0</definedName>
    <definedName name="JrsAAutre1CARN3">0</definedName>
    <definedName name="JrsAAutre1CARN4">0</definedName>
    <definedName name="JrsAAutre1DgBPN">0</definedName>
    <definedName name="JrsAAutre1DgBPRN">0</definedName>
    <definedName name="JrsAAutre2">0</definedName>
    <definedName name="JRSAAUTRE2_budget_retenu_0_GLOBAL">0</definedName>
    <definedName name="JRSAAUTRE2_ca_propose_0_GLOBAL">0</definedName>
    <definedName name="JrsAAutre2BPPN">0</definedName>
    <definedName name="JrsAAutre2bprn">0</definedName>
    <definedName name="JrsAAutre2BPRN1">0</definedName>
    <definedName name="JrsAAutre2CARN2">0</definedName>
    <definedName name="JrsAAutre2CARN3">0</definedName>
    <definedName name="JrsAAutre2CARN4">0</definedName>
    <definedName name="JrsAAutre2DgBPN">0</definedName>
    <definedName name="JrsAAutre2DgBPRN">0</definedName>
    <definedName name="JrsAAutre3">0</definedName>
    <definedName name="JRSAAUTRE3_budget_retenu_0_GLOBAL">0</definedName>
    <definedName name="JRSAAUTRE3_ca_propose_0_GLOBAL">0</definedName>
    <definedName name="JrsAAutre3BPPN">0</definedName>
    <definedName name="JrsAAutre3bprn">0</definedName>
    <definedName name="JrsAAutre3BPRN1">0</definedName>
    <definedName name="JrsAAutre3CARN2">0</definedName>
    <definedName name="JrsAAutre3CARN3">0</definedName>
    <definedName name="JrsAAutre3CARN4">0</definedName>
    <definedName name="JrsAAutre3DgBPN">0</definedName>
    <definedName name="JrsAAutre3DgBPRN">0</definedName>
    <definedName name="JrsExternat">0</definedName>
    <definedName name="JRSEXTERNAT_budget_retenu_0_GLOBAL">0</definedName>
    <definedName name="JRSEXTERNAT_ca_propose_0_GLOBAL">0</definedName>
    <definedName name="JrsExternatBPPN">0</definedName>
    <definedName name="JrsExternatbprn">0</definedName>
    <definedName name="JrsExternatBPRN1">0</definedName>
    <definedName name="JrsExternatCARN2">0</definedName>
    <definedName name="JrsExternatCARN3">0</definedName>
    <definedName name="JrsExternatCARN4">0</definedName>
    <definedName name="JrsExternatDgBPN">0</definedName>
    <definedName name="JrsExternatDgBPRN">0</definedName>
    <definedName name="JrsInternat">0</definedName>
    <definedName name="JRSINTERNAT_budget_retenu_0_GLOBAL">0</definedName>
    <definedName name="JRSINTERNAT_ca_propose_0_GLOBAL">0</definedName>
    <definedName name="JrsInternatBPPN">0</definedName>
    <definedName name="JrsInternatbprn">0</definedName>
    <definedName name="JrsInternatBPRN1">0</definedName>
    <definedName name="JrsInternatCARN2">0</definedName>
    <definedName name="JrsInternatCARN3">0</definedName>
    <definedName name="JrsInternatCARN4">0</definedName>
    <definedName name="JrsInternatDgBPN">0</definedName>
    <definedName name="JrsInternatDgBPRN">0</definedName>
    <definedName name="JrsOuvAAutre1">0</definedName>
    <definedName name="JrsOuvAAutre2">0</definedName>
    <definedName name="JrsOuvAAutre3">0</definedName>
    <definedName name="JrsOuvExtern">0</definedName>
    <definedName name="JrsOuvIntern">0</definedName>
    <definedName name="JrsOuvSemiInt">0</definedName>
    <definedName name="JrsSemiInt">0</definedName>
    <definedName name="JRSSEMIINT_budget_retenu_0_GLOBAL">0</definedName>
    <definedName name="JRSSEMIINT_ca_propose_0_GLOBAL">0</definedName>
    <definedName name="JrsSemiIntBPPN">0</definedName>
    <definedName name="JrsSemiIntbprn">0</definedName>
    <definedName name="JrsSemiIntBPRN1">0</definedName>
    <definedName name="JrsSemiIntCARN2">0</definedName>
    <definedName name="JrsSemiIntCARN3">0</definedName>
    <definedName name="JrsSemiIntCARN4">0</definedName>
    <definedName name="JrsSemiIntDgBPN">0</definedName>
    <definedName name="JrsSemiIntDgBPRN">0</definedName>
    <definedName name="JRSTEOAAUTRE1_budget_retenu_0_GLOBAL">0</definedName>
    <definedName name="JRSTEOAAUTRE2_budge_retenu_0_GLOBAL">0</definedName>
    <definedName name="JRSTEOAAUTRE2_budget_retenu_0_GLOBAL">0</definedName>
    <definedName name="JRSTEOAAUTRE3_budget_retenu_0_GLOBAL">0</definedName>
    <definedName name="JRSTEOEXTERNAT_budget_retenu_0_GLOBAL">0</definedName>
    <definedName name="JRSTEOINTERNAT_budget_retenu_0_GLOBAL">0</definedName>
    <definedName name="JRSTEOSEMIINT_budget_retenu_0_GLOBAL">0</definedName>
    <definedName name="JrsThAAutre1N">0</definedName>
    <definedName name="JrsThAAutre2N">0</definedName>
    <definedName name="JrsThAAutre3N">0</definedName>
    <definedName name="JrsThExternatN">0</definedName>
    <definedName name="JrsThInternatN">0</definedName>
    <definedName name="JrsThSemiIntN">0</definedName>
    <definedName name="JTaux">0</definedName>
    <definedName name="JTaux_MN">0</definedName>
    <definedName name="Liste_CAT_Conventions" localSheetId="17">#REF!</definedName>
    <definedName name="Liste_CAT_Conventions" localSheetId="18">#REF!</definedName>
    <definedName name="Liste_CAT_Conventions" localSheetId="9">#REF!</definedName>
    <definedName name="Liste_CAT_Conventions">#REF!</definedName>
    <definedName name="Liste_Cat_FINESS" localSheetId="17">#REF!</definedName>
    <definedName name="Liste_Cat_FINESS" localSheetId="18">#REF!</definedName>
    <definedName name="Liste_Cat_FINESS" localSheetId="9">#REF!</definedName>
    <definedName name="Liste_Cat_FINESS">#REF!</definedName>
    <definedName name="ListeActivité" localSheetId="17">#REF!</definedName>
    <definedName name="ListeActivité" localSheetId="18">#REF!</definedName>
    <definedName name="ListeActivité" localSheetId="9">#REF!</definedName>
    <definedName name="ListeActivité">#REF!</definedName>
    <definedName name="ListePempPerm" localSheetId="17">#REF!</definedName>
    <definedName name="ListePempPerm" localSheetId="18">#REF!</definedName>
    <definedName name="ListePempPerm" localSheetId="9">#REF!</definedName>
    <definedName name="ListePempPerm">#REF!</definedName>
    <definedName name="ListeTypeAccueil" localSheetId="17">#REF!</definedName>
    <definedName name="ListeTypeAccueil" localSheetId="18">#REF!</definedName>
    <definedName name="ListeTypeAccueil" localSheetId="9">#REF!</definedName>
    <definedName name="ListeTypeAccueil">#REF!</definedName>
    <definedName name="MandatAnnulCE10000">0</definedName>
    <definedName name="MandatAnnulCE10200">0</definedName>
    <definedName name="MandatAnnulCE10230">0</definedName>
    <definedName name="MandatAnnulCE10600">0</definedName>
    <definedName name="MandatAnnulCE10686">0</definedName>
    <definedName name="MandatAnnulCE13900">0</definedName>
    <definedName name="MandatAnnulCE14000">0</definedName>
    <definedName name="MandatAnnulCE14800">0</definedName>
    <definedName name="MandatAnnulCE14861">0</definedName>
    <definedName name="MandatAnnulCE14862">0</definedName>
    <definedName name="MandatAnnulCE15000">0</definedName>
    <definedName name="MandatAnnulCE15100">0</definedName>
    <definedName name="MandatAnnulCE15700">0</definedName>
    <definedName name="MandatAnnulCE15800">0</definedName>
    <definedName name="MandatAnnulCE16000">0</definedName>
    <definedName name="MandatAnnulCE16300">0</definedName>
    <definedName name="MandatAnnulCE16400">0</definedName>
    <definedName name="MandatAnnulCE16500">0</definedName>
    <definedName name="MandatAnnulCE16700">0</definedName>
    <definedName name="MandatAnnulCE16800">0</definedName>
    <definedName name="MandatAnnulCE16900">0</definedName>
    <definedName name="MandatAnnulCE18000">0</definedName>
    <definedName name="MandatAnnulCE20000">0</definedName>
    <definedName name="MandatAnnulCE20100">0</definedName>
    <definedName name="MandatAnnulCE20300">0</definedName>
    <definedName name="MandatAnnulCE20500">0</definedName>
    <definedName name="MandatAnnulCE20800">0</definedName>
    <definedName name="MandatAnnulCE21000">0</definedName>
    <definedName name="MandatAnnulCE21100">0</definedName>
    <definedName name="MandatAnnulCE21200">0</definedName>
    <definedName name="MandatAnnulCE21300">0</definedName>
    <definedName name="MandatAnnulCE21400">0</definedName>
    <definedName name="MandatAnnulCE21500">0</definedName>
    <definedName name="MandatAnnulCE21600">0</definedName>
    <definedName name="MandatAnnulCE21810">0</definedName>
    <definedName name="MandatAnnulCE21820">0</definedName>
    <definedName name="MandatAnnulCE21830">0</definedName>
    <definedName name="MandatAnnulCE21840">0</definedName>
    <definedName name="MandatAnnulCE21850">0</definedName>
    <definedName name="MandatAnnulCE21880">0</definedName>
    <definedName name="MandatAnnulCE22000">0</definedName>
    <definedName name="MandatAnnulCE23000">0</definedName>
    <definedName name="MandatAnnulCE23120">0</definedName>
    <definedName name="MandatAnnulCE23130">0</definedName>
    <definedName name="MandatAnnulCE23140">0</definedName>
    <definedName name="MandatAnnulCE23150">0</definedName>
    <definedName name="MandatAnnulCE23180">0</definedName>
    <definedName name="MandatAnnulCE23800">0</definedName>
    <definedName name="MandatAnnulCE24000">0</definedName>
    <definedName name="MandatAnnulCE26000">0</definedName>
    <definedName name="MandatAnnulCE27000">0</definedName>
    <definedName name="MandatAnnulCE27100">0</definedName>
    <definedName name="MandatAnnulCE27200">0</definedName>
    <definedName name="MandatAnnulCE27400">0</definedName>
    <definedName name="MandatAnnulCE27500">0</definedName>
    <definedName name="MandatAnnulCE27610">0</definedName>
    <definedName name="MandatAnnulCE27680">0</definedName>
    <definedName name="MandatAnnulCE28000">0</definedName>
    <definedName name="MandatAnnulCE28110">0</definedName>
    <definedName name="MandatAnnulCE28120">0</definedName>
    <definedName name="MandatAnnulCE28130">0</definedName>
    <definedName name="MandatAnnulCE28140">0</definedName>
    <definedName name="MandatAnnulCE28150">0</definedName>
    <definedName name="MandatAnnulCE28180">0</definedName>
    <definedName name="MandatAnnulCE29000">0</definedName>
    <definedName name="MandatAnnulCE29300">0</definedName>
    <definedName name="MandatAnnulCE29700">0</definedName>
    <definedName name="MandatAnnulCE39000">0</definedName>
    <definedName name="MandatAnnulCE48100">0</definedName>
    <definedName name="MandatAnnulCE49000">0</definedName>
    <definedName name="MandatAnnulCE59000">0</definedName>
    <definedName name="MandatAnnulCR102_Budgetret">0</definedName>
    <definedName name="MandatAnnulCR106_Budgetret">0</definedName>
    <definedName name="MandatAnnulCR10682_Budgetret">0</definedName>
    <definedName name="MandatAnnulCR131_Budgetret">0</definedName>
    <definedName name="MandatAnnulCR148_Budgetret">0</definedName>
    <definedName name="MandatAnnulCR14861_Budgetret">0</definedName>
    <definedName name="MandatAnnulCR14862_Budgetret">0</definedName>
    <definedName name="MandatAnnulCR151_Budgetret">0</definedName>
    <definedName name="MandatAnnulCR157_Budgetret">0</definedName>
    <definedName name="MandatAnnulCR158_Budgetret">0</definedName>
    <definedName name="MandatAnnulCR163_Budgetret">0</definedName>
    <definedName name="MandatAnnulCR164_Budgetret">0</definedName>
    <definedName name="MandatAnnulCR165_Budgetret">0</definedName>
    <definedName name="MandatAnnulCR167_Budgetret">0</definedName>
    <definedName name="MandatAnnulCR168_Budgetret">0</definedName>
    <definedName name="MandatAnnulCR169_Budgetret">0</definedName>
    <definedName name="MandatAnnulCR201_Budgetret">0</definedName>
    <definedName name="MandatAnnulCR205_Budgetret">0</definedName>
    <definedName name="MandatAnnulCR208_Budgetret">0</definedName>
    <definedName name="MandatAnnulCR211_Budgetret">0</definedName>
    <definedName name="MandatAnnulCR212_Budgetret">0</definedName>
    <definedName name="MandatAnnulCR213_Budgetret">0</definedName>
    <definedName name="MandatAnnulCR214_Budgetret">0</definedName>
    <definedName name="MandatAnnulCR215_Budgetret">0</definedName>
    <definedName name="MandatAnnulCR216_Budgetret">0</definedName>
    <definedName name="MandatAnnulCR2181_Budgetret">0</definedName>
    <definedName name="MandatAnnulCR2182_Budgetret">0</definedName>
    <definedName name="MandatAnnulCR2183_Budgetret">0</definedName>
    <definedName name="MandatAnnulCR2184_Budgetret">0</definedName>
    <definedName name="MandatAnnulCR2185_Budgetret">0</definedName>
    <definedName name="MandatAnnulCR2188_Budgetret">0</definedName>
    <definedName name="MandatAnnulCR22_Budgetret">0</definedName>
    <definedName name="MandatAnnulCR2312_Budgetret">0</definedName>
    <definedName name="MandatAnnulCR2313_Budgetret">0</definedName>
    <definedName name="MandatAnnulCR2314_Budgetret">0</definedName>
    <definedName name="MandatAnnulCR2315_Budgetret">0</definedName>
    <definedName name="MandatAnnulCR2318_Budgetret">0</definedName>
    <definedName name="MandatAnnulCR238_Budgetret">0</definedName>
    <definedName name="MandatAnnulCR24_Budgetret">0</definedName>
    <definedName name="MandatAnnulCR26_Budgetret">0</definedName>
    <definedName name="MandatAnnulCR271_Budgetret">0</definedName>
    <definedName name="MandatAnnulCR272_Budgetret">0</definedName>
    <definedName name="MandatAnnulCR274_Budgetret">0</definedName>
    <definedName name="MandatAnnulCR275_Budgetret">0</definedName>
    <definedName name="MandatAnnulCR2761_Budgetret">0</definedName>
    <definedName name="MandatAnnulCR2768_Budgetret">0</definedName>
    <definedName name="MandatAnnulCR280_Budgetret">0</definedName>
    <definedName name="MandatAnnulCR2811_Budgetret">0</definedName>
    <definedName name="MandatAnnulCR2812_Budgetret">0</definedName>
    <definedName name="MandatAnnulCR2813_Budgetret">0</definedName>
    <definedName name="MandatAnnulCR2814_Budgetret">0</definedName>
    <definedName name="MandatAnnulCR2815_Budgetret">0</definedName>
    <definedName name="MandatAnnulCR2817_Budgetret">0</definedName>
    <definedName name="MandatAnnulCR2818_Budgetret">0</definedName>
    <definedName name="MandatAnnulCR291_Budgetret">0</definedName>
    <definedName name="MandatAnnulCR293_Budgetret">0</definedName>
    <definedName name="MandatAnnulCR296_Budgetret">0</definedName>
    <definedName name="MandatAnnulCR297_Budgetret">0</definedName>
    <definedName name="MandatAnnulCR39_Budgetret">0</definedName>
    <definedName name="MandatAnnulCR481_Budgetret">0</definedName>
    <definedName name="MandatAnnulCR49_Budgetret">0</definedName>
    <definedName name="MandatAnnulCR59_Budgetret">0</definedName>
    <definedName name="MandatEmisCE10000">0</definedName>
    <definedName name="MandatEmisCE10200">0</definedName>
    <definedName name="MandatEmisCE10230">0</definedName>
    <definedName name="MandatEmisCE10600">0</definedName>
    <definedName name="MandatEmisCE10686">0</definedName>
    <definedName name="MandatEmisCE13900">0</definedName>
    <definedName name="MandatEmisCE14000">0</definedName>
    <definedName name="MandatEmisCE14800">0</definedName>
    <definedName name="MandatEmisCE14861">0</definedName>
    <definedName name="MandatEmisCE14862">0</definedName>
    <definedName name="MandatEmisCE15000">0</definedName>
    <definedName name="MandatEmisCE15100">0</definedName>
    <definedName name="MandatEmisCE15700">0</definedName>
    <definedName name="MandatEmisCE15800">0</definedName>
    <definedName name="MandatEmisCE16000">0</definedName>
    <definedName name="MandatEmisCE16300">0</definedName>
    <definedName name="MandatEmisCE16400">0</definedName>
    <definedName name="MandatEmisCE16500">0</definedName>
    <definedName name="MandatEmisCE16700">0</definedName>
    <definedName name="MandatEmisCE16800">0</definedName>
    <definedName name="MandatEmisCE16900">0</definedName>
    <definedName name="MandatEmisCE18000">0</definedName>
    <definedName name="MandatEmisCE20000">0</definedName>
    <definedName name="MandatEmisCE20100">0</definedName>
    <definedName name="MandatEmisCE20300">0</definedName>
    <definedName name="MandatEmisCE20500">0</definedName>
    <definedName name="MandatEmisCE20800">0</definedName>
    <definedName name="MandatEmisCE21000">0</definedName>
    <definedName name="MandatEmisCE21100">0</definedName>
    <definedName name="MandatEmisCE21200">0</definedName>
    <definedName name="MandatEmisCE21300">0</definedName>
    <definedName name="MandatEmisCE21400">0</definedName>
    <definedName name="MandatEmisCE21500">0</definedName>
    <definedName name="MandatEmisCE21600">0</definedName>
    <definedName name="MandatEmisCE21810">0</definedName>
    <definedName name="MandatEmisCE21820">0</definedName>
    <definedName name="MandatEmisCE21830">0</definedName>
    <definedName name="MandatEmisCE21840">0</definedName>
    <definedName name="MandatEmisCE21850">0</definedName>
    <definedName name="MandatEmisCE21880">0</definedName>
    <definedName name="MandatEmisCE22000">0</definedName>
    <definedName name="MandatEmisCE23000">0</definedName>
    <definedName name="MandatEmisCE23120">0</definedName>
    <definedName name="MandatEmisCE23130">0</definedName>
    <definedName name="MandatEmisCE23140">0</definedName>
    <definedName name="MandatEmisCE23150">0</definedName>
    <definedName name="MandatEmisCE23180">0</definedName>
    <definedName name="MandatEmisCE23800">0</definedName>
    <definedName name="MandatEmisCE24000">0</definedName>
    <definedName name="MandatEmisCE26000">0</definedName>
    <definedName name="MandatEmisCE27000">0</definedName>
    <definedName name="MandatEmisCE27100">0</definedName>
    <definedName name="MandatEmisCE27200">0</definedName>
    <definedName name="MandatEmisCE27400">0</definedName>
    <definedName name="MandatEmisCE27500">0</definedName>
    <definedName name="MandatEmisCE27610">0</definedName>
    <definedName name="MandatEmisCE27680">0</definedName>
    <definedName name="MandatEmisCE28000">0</definedName>
    <definedName name="MandatEmisCE28110">0</definedName>
    <definedName name="MandatEmisCE28120">0</definedName>
    <definedName name="MandatEmisCE28130">0</definedName>
    <definedName name="MandatEmisCE28140">0</definedName>
    <definedName name="MandatEmisCE28150">0</definedName>
    <definedName name="MandatEmisCE28180">0</definedName>
    <definedName name="MandatEmisCE29000">0</definedName>
    <definedName name="MandatEmisCE29300">0</definedName>
    <definedName name="MandatEmisCE29700">0</definedName>
    <definedName name="MandatEmisCE39000">0</definedName>
    <definedName name="MandatEmisCE48100">0</definedName>
    <definedName name="MandatEmisCE49000">0</definedName>
    <definedName name="MandatEmisCE59000">0</definedName>
    <definedName name="MandatEmisCR102_Budgetret">0</definedName>
    <definedName name="MandatEmisCR106_Budgetret">0</definedName>
    <definedName name="MandatEmisCR10682_Budgetret">0</definedName>
    <definedName name="MandatEmisCR131_Budgetret">0</definedName>
    <definedName name="MandatEmisCR148_Budgetret">0</definedName>
    <definedName name="MandatEmisCR14861_Budgetret">0</definedName>
    <definedName name="MandatEmisCR14862_Budgetret">0</definedName>
    <definedName name="MandatEmisCR151_Budgetret">0</definedName>
    <definedName name="MandatEmisCR157_Budgetret">0</definedName>
    <definedName name="MandatEmisCR158_Budgetret">0</definedName>
    <definedName name="MandatEmisCR163_Budgetret">0</definedName>
    <definedName name="MandatEmisCR164_Budgetret">0</definedName>
    <definedName name="MandatEmisCR165_Budgetret">0</definedName>
    <definedName name="MandatEmisCR167_Budgetret">0</definedName>
    <definedName name="MandatEmisCR168_Budgetret">0</definedName>
    <definedName name="MandatEmisCR169_Budgetret">0</definedName>
    <definedName name="MandatEmisCR201_Budgetret">0</definedName>
    <definedName name="MandatEmisCR205_Budgetret">0</definedName>
    <definedName name="MandatEmisCR208_Budgetret">0</definedName>
    <definedName name="MandatEmisCR211_Budgetret">0</definedName>
    <definedName name="MandatEmisCR212_Budgetret">0</definedName>
    <definedName name="MandatEmisCR213_Budgetret">0</definedName>
    <definedName name="MandatEmisCR214_Budgetret">0</definedName>
    <definedName name="MandatEmisCR215_Budgetret">0</definedName>
    <definedName name="MandatEmisCR216_Budgetret">0</definedName>
    <definedName name="MandatEmisCR2181_Budgetret">0</definedName>
    <definedName name="MandatEmisCR2182_Budgetret">0</definedName>
    <definedName name="MandatEmisCR2183_Budgetret">0</definedName>
    <definedName name="MandatEmisCR2184_Budgetret">0</definedName>
    <definedName name="MandatEmisCR2185_Budgetret">0</definedName>
    <definedName name="MandatEmisCR2188_Budgetret">0</definedName>
    <definedName name="MandatEmisCR22_Budgetret">0</definedName>
    <definedName name="MandatEmisCR2312_Budgetret">0</definedName>
    <definedName name="MandatEmisCR2313_Budgetret">0</definedName>
    <definedName name="MandatEmisCR2314_Budgetret">0</definedName>
    <definedName name="MandatEmisCR2315_Budgetret">0</definedName>
    <definedName name="MandatEmisCR2318_Budgetret">0</definedName>
    <definedName name="MandatEmisCR238_Budgetret">0</definedName>
    <definedName name="MandatEmisCR24_Budgetret">0</definedName>
    <definedName name="MandatEmisCR26_Budgetret">0</definedName>
    <definedName name="MandatEmisCR271_Budgetret">0</definedName>
    <definedName name="MandatEmisCR272_Budgetret">0</definedName>
    <definedName name="MandatEmisCR274_Budgetret">0</definedName>
    <definedName name="MandatEmisCR275_Budgetret">0</definedName>
    <definedName name="MandatEmisCR2761_Budgetret">0</definedName>
    <definedName name="MandatEmisCR2768_Budgetret">0</definedName>
    <definedName name="MandatEmisCR280_Budgetret">0</definedName>
    <definedName name="MandatEmisCR2811_Budgetret">0</definedName>
    <definedName name="MandatEmisCR2812_Budgetret">0</definedName>
    <definedName name="MandatEmisCR2813_Budgetret">0</definedName>
    <definedName name="MandatEmisCR2814_Budgetret">0</definedName>
    <definedName name="MandatEmisCR2815_Budgetret">0</definedName>
    <definedName name="MandatEmisCR2817_Budgetret">0</definedName>
    <definedName name="MandatEmisCR2818_Budgetret">0</definedName>
    <definedName name="MandatEmisCR291_Budgetret">0</definedName>
    <definedName name="MandatEmisCR293_Budgetret">0</definedName>
    <definedName name="MandatEmisCR296_Budgetret">0</definedName>
    <definedName name="MandatEmisCR297_Budgetret">0</definedName>
    <definedName name="MandatEmisCR39_Budgetret">0</definedName>
    <definedName name="MandatEmisCR481_Budgetret">0</definedName>
    <definedName name="MandatEmisCR49_Budgetret">0</definedName>
    <definedName name="MandatEmisCR59_Budgetret">0</definedName>
    <definedName name="mois">[1]Liste!$D$2:$D$14</definedName>
    <definedName name="Montant_01">0</definedName>
    <definedName name="Montant_02">0</definedName>
    <definedName name="Montant_03">0</definedName>
    <definedName name="Montant_04">0</definedName>
    <definedName name="Montant_05">0</definedName>
    <definedName name="Montant_06">0</definedName>
    <definedName name="Montant_07">0</definedName>
    <definedName name="Montant_08">0</definedName>
    <definedName name="Montant_09">0</definedName>
    <definedName name="Montant_10">0</definedName>
    <definedName name="Montant_11">0</definedName>
    <definedName name="Montant_12">0</definedName>
    <definedName name="Montant_13">0</definedName>
    <definedName name="Montant_14">0</definedName>
    <definedName name="Montant_15">0</definedName>
    <definedName name="Montant_16">0</definedName>
    <definedName name="Montant_17">0</definedName>
    <definedName name="Montant_18">0</definedName>
    <definedName name="Montant_19">0</definedName>
    <definedName name="Montant_20">0</definedName>
    <definedName name="NAAutre1_CA">0</definedName>
    <definedName name="NAgAnim_CAproposé">0</definedName>
    <definedName name="NAgAs_CAproposé">0</definedName>
    <definedName name="NAgAsh_CAproposé">0</definedName>
    <definedName name="NAgAux_CAproposé">0</definedName>
    <definedName name="NAgCui_CAproposé">0</definedName>
    <definedName name="NAgDir_CAproposé">0</definedName>
    <definedName name="NAgInf_CAproposé">0</definedName>
    <definedName name="NAgMed_CAproposé">0</definedName>
    <definedName name="NAgPha_CAproposé">0</definedName>
    <definedName name="NAgPsy_CAproposé">0</definedName>
    <definedName name="NAgTPAnim_CAproposé">0</definedName>
    <definedName name="NAgTPAnim0">0</definedName>
    <definedName name="NAgTPAs_CAproposé">0</definedName>
    <definedName name="NAgTPAs0">0</definedName>
    <definedName name="NAgTPAsh_CAproposé">0</definedName>
    <definedName name="NAgTPAsh0">0</definedName>
    <definedName name="NAgTPAux_CAproposé">0</definedName>
    <definedName name="NAgTPAux0">0</definedName>
    <definedName name="NAgTPCui_CAproposé">0</definedName>
    <definedName name="NAgTPCui0">0</definedName>
    <definedName name="NAgTPDir_CAproposé">0</definedName>
    <definedName name="NAgTPDir0">0</definedName>
    <definedName name="NAgTPGestADMGES_BEXN1">0</definedName>
    <definedName name="NAgTPInf_CAproposé">0</definedName>
    <definedName name="NAgTPInf0">0</definedName>
    <definedName name="NAgTPMed_CAproposé">0</definedName>
    <definedName name="NAgTPMed0">0</definedName>
    <definedName name="NAgTPPha_CAproposé">0</definedName>
    <definedName name="NAgTPPha0">0</definedName>
    <definedName name="NAgTPPsy_CAproposé">0</definedName>
    <definedName name="NAgTPPsy0">0</definedName>
    <definedName name="NbAgentTPADBn1">0</definedName>
    <definedName name="NbAgentTPADMn1">0</definedName>
    <definedName name="NbAgentTPADn1">0</definedName>
    <definedName name="NbAgentTPAIDn1">0</definedName>
    <definedName name="NbAgentTPAUPn">0</definedName>
    <definedName name="NbAgentTPAUPn1">0</definedName>
    <definedName name="NbAgentTPAUTn1">0</definedName>
    <definedName name="NbAgentTPAVSn1">0</definedName>
    <definedName name="NbAgentTPDETn">0</definedName>
    <definedName name="NbAgentTPDETn1">0</definedName>
    <definedName name="NbAgentTPDIRn1">0</definedName>
    <definedName name="NbAgentTPEDADn1">0</definedName>
    <definedName name="NbAgentTPEDUn1">0</definedName>
    <definedName name="NbAgentTPENCDIRn1">0</definedName>
    <definedName name="NbAgentTPENCn1">0</definedName>
    <definedName name="NbAgentTPMEDn1">0</definedName>
    <definedName name="NbAgentTPPARn1">0</definedName>
    <definedName name="NbAgentTPPARPSYMEDn1">0</definedName>
    <definedName name="NbAgentTPPARPSYn1">0</definedName>
    <definedName name="NbAgentTPPSYn1">0</definedName>
    <definedName name="NbAgentTPRTTn">0</definedName>
    <definedName name="NbAgentTPRTTn1">0</definedName>
    <definedName name="NbAgentTPSERn1">0</definedName>
    <definedName name="NbAgentTPTOTn1">0</definedName>
    <definedName name="NbETPTPADBn1">0</definedName>
    <definedName name="NbETPTPADMn1">0</definedName>
    <definedName name="NbETPTPADn1">0</definedName>
    <definedName name="NbETPTPAIDn1">0</definedName>
    <definedName name="NbETPTPAUPn">0</definedName>
    <definedName name="NbETPTPAUPn1">0</definedName>
    <definedName name="NbETPTPAUTn1">0</definedName>
    <definedName name="NbETPTPAVSn1">0</definedName>
    <definedName name="NbETPTPDETn">0</definedName>
    <definedName name="NbETPTPDETn1">0</definedName>
    <definedName name="NbETPTPDIRn1">0</definedName>
    <definedName name="NbETPTPEDADn1">0</definedName>
    <definedName name="NbETPTPEDUn1">0</definedName>
    <definedName name="NbETPTPENCDIRn1">0</definedName>
    <definedName name="NbETPTPENCn1">0</definedName>
    <definedName name="NbETPTPMEDn1">0</definedName>
    <definedName name="NbETPTPPARn1">0</definedName>
    <definedName name="NbETPTPPARPSYMEDn1">0</definedName>
    <definedName name="NbETPTPPARPSYn1">0</definedName>
    <definedName name="NbETPTPPSYn1">0</definedName>
    <definedName name="NbETPTPRTTn">0</definedName>
    <definedName name="NbETPTPRTTn1">0</definedName>
    <definedName name="NbETPTPSERn1">0</definedName>
    <definedName name="NbETPTPTOTn1">0</definedName>
    <definedName name="NBFBFRAUTCT_CAretenu_moins2">0</definedName>
    <definedName name="NBFBFRAUTCT_CAretenu_moins3">0</definedName>
    <definedName name="NBFBFRAUTCT_CAretenu_moins4">0</definedName>
    <definedName name="NBFBFRAUTDT_CAretenu_moins2">0</definedName>
    <definedName name="NBFBFRAUTDT_CAretenu_moins3">0</definedName>
    <definedName name="NBFBFRAUTDT_CAretenu_moins4">0</definedName>
    <definedName name="NBFFREAUT1_CAretenu_moins2">0</definedName>
    <definedName name="NBFFREAUT1_CAretenu_moins3">0</definedName>
    <definedName name="NBFFREAUT1_CAretenu_moins4">0</definedName>
    <definedName name="NBFFREAUT2_CAretenu_moins2">0</definedName>
    <definedName name="NBFFREAUT2_CAretenu_moins3">0</definedName>
    <definedName name="NBFFREAUT2_CAretenu_moins4">0</definedName>
    <definedName name="NBIFEXP_CAretenu_moins2">0</definedName>
    <definedName name="NBIFEXP_CAretenu_moins3">0</definedName>
    <definedName name="NBIFEXP_CAretenu_moins4">0</definedName>
    <definedName name="NBIFFREAUT4_CAretenu_moins2">0</definedName>
    <definedName name="NBIFFREAUT4_CAretenu_moins3">0</definedName>
    <definedName name="NBIFFREAUT4_CAretenu_moins4">0</definedName>
    <definedName name="NCapAut">0</definedName>
    <definedName name="NDUREEMENS_AD">0</definedName>
    <definedName name="NDUREEMENS_AVS">0</definedName>
    <definedName name="NDUREEMENS_TISF">0</definedName>
    <definedName name="NDUREEMENS0">0</definedName>
    <definedName name="NDUREEMENSmoins1">0</definedName>
    <definedName name="NETPAnim_CAretenu_moins1">0</definedName>
    <definedName name="NETPAnim_CARN1">0</definedName>
    <definedName name="NETPAnim0">0</definedName>
    <definedName name="NETPAnim0MSNN0">0</definedName>
    <definedName name="NETPAnimExt_CARN1">0</definedName>
    <definedName name="NETPAnimExt0">0</definedName>
    <definedName name="NETPAnimExt0MSNN0">0</definedName>
    <definedName name="NETPAS_CAretenu_moins1">0</definedName>
    <definedName name="NETPAS_CARN1">0</definedName>
    <definedName name="NETPAS0">0</definedName>
    <definedName name="NETPAS0MSNN0">0</definedName>
    <definedName name="NETPASExt_CARN1">0</definedName>
    <definedName name="NETPASExt0">0</definedName>
    <definedName name="NETPASExt0MSNN0">0</definedName>
    <definedName name="NETPASH_CAretenu_moins1">0</definedName>
    <definedName name="NETPASH_CARN1">0</definedName>
    <definedName name="NETPASH0">0</definedName>
    <definedName name="NETPASH0MSNN0">0</definedName>
    <definedName name="NETPASHExt_CARN1">0</definedName>
    <definedName name="NETPASHExt0">0</definedName>
    <definedName name="NETPASHExt0MSNN0">0</definedName>
    <definedName name="NETPaux_CAretenu_moins1">0</definedName>
    <definedName name="NETPaux_CARN1">0</definedName>
    <definedName name="NETPaux0">0</definedName>
    <definedName name="NETPaux0MSNN0">0</definedName>
    <definedName name="NETPauxExt_CARN1">0</definedName>
    <definedName name="NETPauxExt0">0</definedName>
    <definedName name="NETPAuxExt0MSNN0">0</definedName>
    <definedName name="NETPCui_CAretenu_moins1">0</definedName>
    <definedName name="NETPCui_CARN1">0</definedName>
    <definedName name="NETPCui0">0</definedName>
    <definedName name="NETPCui0MSNN0">0</definedName>
    <definedName name="NETPCuiExt_CARN1">0</definedName>
    <definedName name="NETPCuiExt0">0</definedName>
    <definedName name="NETPCuiExt0MSNN0">0</definedName>
    <definedName name="NETPDir_CAretenu_moins1">0</definedName>
    <definedName name="NETPDir_CARN1">0</definedName>
    <definedName name="NETPDir0">0</definedName>
    <definedName name="NETPDir0MSNN0">0</definedName>
    <definedName name="NETPDirExt_CARN1">0</definedName>
    <definedName name="NETPDirExt0">0</definedName>
    <definedName name="NETPDirExt0MSNN0">0</definedName>
    <definedName name="NETPExt_CAretenu_moins1">0</definedName>
    <definedName name="NETPGestADBn">0</definedName>
    <definedName name="NETPGestADBn1">0</definedName>
    <definedName name="NETPGestADBnRET">0</definedName>
    <definedName name="NETPGestADMGES_BEXN1">0</definedName>
    <definedName name="NETPGestADMGES_BPN0">0</definedName>
    <definedName name="NETPGestADMGES_BRN0">0</definedName>
    <definedName name="NETPGestADMn">0</definedName>
    <definedName name="NETPGestADMn1">0</definedName>
    <definedName name="NETPGestADMnRET">0</definedName>
    <definedName name="NETPGestADn">0</definedName>
    <definedName name="NETPGestADn1">0</definedName>
    <definedName name="NETPGestADnRET">0</definedName>
    <definedName name="NETPGestAIDn">0</definedName>
    <definedName name="NETPGestAIDn1">0</definedName>
    <definedName name="NETPGestAIDnRET">0</definedName>
    <definedName name="NETPGestAUPn">0</definedName>
    <definedName name="NETPGestAUPn1">0</definedName>
    <definedName name="NETPGestAUPnRET">0</definedName>
    <definedName name="NETPGestAUTn">0</definedName>
    <definedName name="NETPGestAUTn1">0</definedName>
    <definedName name="NETPGestAUTnRET">0</definedName>
    <definedName name="NETPGestAVSn">0</definedName>
    <definedName name="NETPGestAVSn1">0</definedName>
    <definedName name="NETPGestAVSnRET">0</definedName>
    <definedName name="NETPGestDETn">0</definedName>
    <definedName name="NETPGestDETn1">0</definedName>
    <definedName name="NETPGestDETnRET">0</definedName>
    <definedName name="NETPGestDIRn">0</definedName>
    <definedName name="NETPGestDIRn1">0</definedName>
    <definedName name="NETPGestDIRnRET">0</definedName>
    <definedName name="NETPGestEDADn">0</definedName>
    <definedName name="NETPGestEDADn1">0</definedName>
    <definedName name="NETPGestEDADnRET">0</definedName>
    <definedName name="NETPGestEDUn">0</definedName>
    <definedName name="NETPGestEDUn1">0</definedName>
    <definedName name="NETPGestEDUnRET">0</definedName>
    <definedName name="NETPGestENCDIRn">0</definedName>
    <definedName name="NETPGestENCDIRn1">0</definedName>
    <definedName name="NETPGestENCDIRnRET">0</definedName>
    <definedName name="NETPGestENCn">0</definedName>
    <definedName name="NETPGestENCn1">0</definedName>
    <definedName name="NETPGestENCnRET">0</definedName>
    <definedName name="NETPGestMEDn">0</definedName>
    <definedName name="NETPGestMEDn1">0</definedName>
    <definedName name="NETPGestMEDnRET">0</definedName>
    <definedName name="NETPGestPARn">0</definedName>
    <definedName name="NETPGestPARn1">0</definedName>
    <definedName name="NETPGestPARnRET">0</definedName>
    <definedName name="NETPGestPARPSYMEDn">0</definedName>
    <definedName name="NETPGestPARPSYMEDn1">0</definedName>
    <definedName name="NETPGestPARPSYMEDnRET">0</definedName>
    <definedName name="NETPGestPARPSYn">0</definedName>
    <definedName name="NETPGestPARPSYn1">0</definedName>
    <definedName name="NETPGestPARPSYnRET">0</definedName>
    <definedName name="NETPGestPSYn">0</definedName>
    <definedName name="NETPGestPSYn1">0</definedName>
    <definedName name="NETPGestPSYnRET">0</definedName>
    <definedName name="NETPGestRTTn">0</definedName>
    <definedName name="NETPGestRTTn1">0</definedName>
    <definedName name="NETPGestRTTnRET">0</definedName>
    <definedName name="NETPGestSERn">0</definedName>
    <definedName name="NETPGestSERn1">0</definedName>
    <definedName name="NETPGestSERnRET">0</definedName>
    <definedName name="NETPGestTOTn">0</definedName>
    <definedName name="NETPGestTOTn1">0</definedName>
    <definedName name="NETPGestTOTnRET">0</definedName>
    <definedName name="NETPInf_CAretenu_moins1">0</definedName>
    <definedName name="NETPInf_CARN1">0</definedName>
    <definedName name="NETPInf0">0</definedName>
    <definedName name="NETPInf0MSNN0">0</definedName>
    <definedName name="NETPInfExt_CARN1">0</definedName>
    <definedName name="NETPInfExt0">0</definedName>
    <definedName name="NETPInfExt0MSNN0">0</definedName>
    <definedName name="NETPMed_CAretenu_moins1">0</definedName>
    <definedName name="NETPMed_CARN1">0</definedName>
    <definedName name="NETPMed0">0</definedName>
    <definedName name="NETPMed0MSNN0">0</definedName>
    <definedName name="NETPMedExt_CARN1">0</definedName>
    <definedName name="NETPMedExt0">0</definedName>
    <definedName name="NETPMedExt0MSNN0">0</definedName>
    <definedName name="NETPPha_CAretenu_moins1">0</definedName>
    <definedName name="NETPPha_CARN1">0</definedName>
    <definedName name="NETPPha0">0</definedName>
    <definedName name="NETPPha0MSNN0">0</definedName>
    <definedName name="NETPPhaExt_CARN1">0</definedName>
    <definedName name="NETPPhaExt0">0</definedName>
    <definedName name="NETPPhaExt0MSNN0">0</definedName>
    <definedName name="NETPPsy_CAretenu_moins1">0</definedName>
    <definedName name="NETPPsy_CARN1">0</definedName>
    <definedName name="NETPPsy0">0</definedName>
    <definedName name="NETPPsy0MSNN0">0</definedName>
    <definedName name="NETPPsyExt_CARN1">0</definedName>
    <definedName name="NETPPsyExt0">0</definedName>
    <definedName name="NETPPsyExt0MSNN0">0</definedName>
    <definedName name="NETPTPAnim_CAproposé">0</definedName>
    <definedName name="NETPTPAnim0">0</definedName>
    <definedName name="NETPTPAs_CAproposé">0</definedName>
    <definedName name="NETPTPAs0">0</definedName>
    <definedName name="NETPTPAsh_CAproposé">0</definedName>
    <definedName name="NETPTPAsh0">0</definedName>
    <definedName name="NETPTPAux_CAproposé">0</definedName>
    <definedName name="NETPTPAux0">0</definedName>
    <definedName name="NETPTPCui_CAproposé">0</definedName>
    <definedName name="NETPTPCui0">0</definedName>
    <definedName name="NETPTPDir_CAproposé">0</definedName>
    <definedName name="NETPTPDir0">0</definedName>
    <definedName name="NETPTPGestADMGES_BEXN1">0</definedName>
    <definedName name="NETPTPInf_CAproposé">0</definedName>
    <definedName name="NETPTPInf0">0</definedName>
    <definedName name="NETPTPMed_CAproposé">0</definedName>
    <definedName name="NETPTPMed0">0</definedName>
    <definedName name="NETPTPPha_CAproposé">0</definedName>
    <definedName name="NETPTPPha0">0</definedName>
    <definedName name="NETPTPPsy_CAproposé">0</definedName>
    <definedName name="NETPTPPsy0">0</definedName>
    <definedName name="NExternat_BE">0</definedName>
    <definedName name="NExternat_CA">0</definedName>
    <definedName name="NGMPSMAJ">0</definedName>
    <definedName name="NHACCIDENTTRAV_AD">0</definedName>
    <definedName name="NHACCIDENTTRAV_AVS">0</definedName>
    <definedName name="NHACCIDENTTRAV_TISF">0</definedName>
    <definedName name="NHACCIDENTTRAV0">0</definedName>
    <definedName name="NHACCIDENTTRAVmoins1">0</definedName>
    <definedName name="NHAUTRES_AD">0</definedName>
    <definedName name="NHAUTRES_AVS">0</definedName>
    <definedName name="NHAUTRES_TISF">0</definedName>
    <definedName name="NHAUTRES0">0</definedName>
    <definedName name="NHAUTRESmoins1">0</definedName>
    <definedName name="NHCHSCT_AD">0</definedName>
    <definedName name="NHCHSCT_AVS">0</definedName>
    <definedName name="NHCHSCT_TISF">0</definedName>
    <definedName name="NHCHSCT0">0</definedName>
    <definedName name="NHCHSCTmoins1">0</definedName>
    <definedName name="NHCONGEANCIEN_AD">0</definedName>
    <definedName name="NHCONGEANCIEN_AVS">0</definedName>
    <definedName name="NHCONGEANCIEN_TISF">0</definedName>
    <definedName name="NHCONGEANCIEN0">0</definedName>
    <definedName name="NHCONGEANCIENmoins1">0</definedName>
    <definedName name="NHCONGEFORMAT_AD">0</definedName>
    <definedName name="NHCONGEFORMAT_AVS">0</definedName>
    <definedName name="NHCONGEFORMAT_TISF">0</definedName>
    <definedName name="NHCONGEFORMAT0">0</definedName>
    <definedName name="NHCONGEFORMATmoins1">0</definedName>
    <definedName name="NHCONGEFRACTIO_AD">0</definedName>
    <definedName name="NHCONGEFRACTIO_AVS">0</definedName>
    <definedName name="NHCONGEFRACTIO_TISF">0</definedName>
    <definedName name="NHCONGEFRACTIO0">0</definedName>
    <definedName name="NHCONGEFRACTIOmoins1">0</definedName>
    <definedName name="NHCONGEPAYE_AD">0</definedName>
    <definedName name="NHCONGEPAYE_AVS">0</definedName>
    <definedName name="NHCONGEPAYE_TISF">0</definedName>
    <definedName name="NHCONGEPAYE0">0</definedName>
    <definedName name="NHCONGEPAYEmoins1">0</definedName>
    <definedName name="NHCONGESFAM_AD">0</definedName>
    <definedName name="NHCONGESFAM_AVS">0</definedName>
    <definedName name="NHCONGESFAM_TISF">0</definedName>
    <definedName name="NHCONGESFAM0">0</definedName>
    <definedName name="NHCONGESFAMmoins1">0</definedName>
    <definedName name="NHDELEGATION_AD">0</definedName>
    <definedName name="NHDELEGATION_AVS">0</definedName>
    <definedName name="NHDELEGATION_TISF">0</definedName>
    <definedName name="NHDELEGATION0">0</definedName>
    <definedName name="NHDELEGATIONmoins1">0</definedName>
    <definedName name="NHENFANTMALADE_AD">0</definedName>
    <definedName name="NHENFANTMALADE_AVS">0</definedName>
    <definedName name="NHENFANTMALADE_TISF">0</definedName>
    <definedName name="NHENFANTMALADE0">0</definedName>
    <definedName name="NHENFANTMALADEmoins1">0</definedName>
    <definedName name="NHFACTAUTRES_AD">0</definedName>
    <definedName name="NHFACTAUTRES_AVS">0</definedName>
    <definedName name="NHFACTAUTRES_TISF">0</definedName>
    <definedName name="NHFACTAUTRES0">0</definedName>
    <definedName name="NHFACTAUTRESmoins1">0</definedName>
    <definedName name="NHFACTBENEF_AD">0</definedName>
    <definedName name="NHFACTBENEF_AVS">0</definedName>
    <definedName name="NHFACTBENEF_TISF">0</definedName>
    <definedName name="NHFACTBENEF0">0</definedName>
    <definedName name="NHFACTBENEFmoins1">0</definedName>
    <definedName name="NHFACTCAF_AD">0</definedName>
    <definedName name="NHFACTCAF_AVS">0</definedName>
    <definedName name="NHFACTCAF_TISF">0</definedName>
    <definedName name="NHFACTCAF0">0</definedName>
    <definedName name="NHFACTCAFmoins1">0</definedName>
    <definedName name="NHFACTCNAV_AD">0</definedName>
    <definedName name="NHFACTCNAV_AVS">0</definedName>
    <definedName name="NHFACTCNAV_TISF">0</definedName>
    <definedName name="NHFACTCNAV0">0</definedName>
    <definedName name="NHFACTCNAVmoins1">0</definedName>
    <definedName name="NHFACTCRAM_AD">0</definedName>
    <definedName name="NHFACTCRAM_AVS">0</definedName>
    <definedName name="NHFACTCRAM_TISF">0</definedName>
    <definedName name="NHFACTCRAM0">0</definedName>
    <definedName name="NHFACTCRAMmoins1">0</definedName>
    <definedName name="NHFACTDEP_AD">0</definedName>
    <definedName name="NHFACTDEP_AVS">0</definedName>
    <definedName name="NHFACTDEP_TISF">0</definedName>
    <definedName name="NHFACTDEP0">0</definedName>
    <definedName name="NHFACTDEPAPA_AD">0</definedName>
    <definedName name="NHFACTDEPAPA_AVS">0</definedName>
    <definedName name="NHFACTDEPAPA_TISF">0</definedName>
    <definedName name="NHFACTDEPAPA0">0</definedName>
    <definedName name="NHFACTDEPAPAmoins1">0</definedName>
    <definedName name="NHFACTDEPmoins1">0</definedName>
    <definedName name="NHFACTMSA_AD">0</definedName>
    <definedName name="NHFACTMSA_AVS">0</definedName>
    <definedName name="NHFACTMSA_TISF">0</definedName>
    <definedName name="NHFACTMSA0">0</definedName>
    <definedName name="NHFACTMSAmoins1">0</definedName>
    <definedName name="NHFACTMUT_AD">0</definedName>
    <definedName name="NHFACTMUT_AVS">0</definedName>
    <definedName name="NHFACTMUT_TISF">0</definedName>
    <definedName name="NHFACTMUT0">0</definedName>
    <definedName name="NHFACTMUTmoins1">0</definedName>
    <definedName name="NHFEMMENCEINTE_AD">0</definedName>
    <definedName name="NHFEMMENCEINTE_AVS">0</definedName>
    <definedName name="NHFEMMENCEINTE_TISF">0</definedName>
    <definedName name="NHFEMMENCEINTE0">0</definedName>
    <definedName name="NHFEMMENCEINTEmoins1">0</definedName>
    <definedName name="NHMALADIE_AD">0</definedName>
    <definedName name="NHMALADIE_AVS">0</definedName>
    <definedName name="NHMALADIE_TISF">0</definedName>
    <definedName name="NHMALADIE0">0</definedName>
    <definedName name="NHMALADIEmoins1">0</definedName>
    <definedName name="NHMATERNITE_AD">0</definedName>
    <definedName name="NHMATERNITE_AVS">0</definedName>
    <definedName name="NHMATERNITE_TISF">0</definedName>
    <definedName name="NHMATERNITE0">0</definedName>
    <definedName name="NHMATERNITEmoins1">0</definedName>
    <definedName name="NHORGTRAVAIL_AD">0</definedName>
    <definedName name="NHORGTRAVAIL_AVS">0</definedName>
    <definedName name="NHORGTRAVAIL_TISF">0</definedName>
    <definedName name="NHORGTRAVAIL0">0</definedName>
    <definedName name="NHORGTRAVAILmoins1">0</definedName>
    <definedName name="NHTEMPSMORT_AD">0</definedName>
    <definedName name="NHTEMPSMORT_AVS">0</definedName>
    <definedName name="NHTEMPSMORT_TISF">0</definedName>
    <definedName name="NHTEMPSMORT0">0</definedName>
    <definedName name="NHTEMPSMORTmoins1">0</definedName>
    <definedName name="NHTRAJET_AD">0</definedName>
    <definedName name="NHTRAJET_AVS">0</definedName>
    <definedName name="NHTRAJET_TISF">0</definedName>
    <definedName name="NHTRAJET0">0</definedName>
    <definedName name="NHTRAJETmoins1">0</definedName>
    <definedName name="NHVISITEMEDICA_AD">0</definedName>
    <definedName name="NHVISITEMEDICA_AVS">0</definedName>
    <definedName name="NHVISITEMEDICA_TISF">0</definedName>
    <definedName name="NHVISITEMEDICA0">0</definedName>
    <definedName name="NHVISITEMEDICAmoins1">0</definedName>
    <definedName name="NInternat_BE">0</definedName>
    <definedName name="NInternat_CA">0</definedName>
    <definedName name="NJourPrev_Budgetexe">0</definedName>
    <definedName name="NJourPrev_CApropose">0</definedName>
    <definedName name="NJourPrev_Héb">0</definedName>
    <definedName name="NJourPrev_Héb_1">0</definedName>
    <definedName name="NJourPrevM60_Héb">0</definedName>
    <definedName name="NJrsAAutre1_CA">0</definedName>
    <definedName name="NJrsAAutre1_COM">" "</definedName>
    <definedName name="NJrsAAutre2_COM">" "</definedName>
    <definedName name="NJrsAAutre3_COM">" "</definedName>
    <definedName name="NJrsExternat_BE">0</definedName>
    <definedName name="NJrsExternat_CA">0</definedName>
    <definedName name="NJrsExternat_COM">" "</definedName>
    <definedName name="NJrsInternat_BE">0</definedName>
    <definedName name="NJrsInternat_CA">0</definedName>
    <definedName name="NJrsInternat_COM">" "</definedName>
    <definedName name="NJrsIntScolBPPN0">0</definedName>
    <definedName name="NJrsIntScolBPRN0">0</definedName>
    <definedName name="NJrsSemiInt_BE">0</definedName>
    <definedName name="NJrsSemiInt_CA">0</definedName>
    <definedName name="NJrsSemiInt_COM">" "</definedName>
    <definedName name="NM60_Héb">0</definedName>
    <definedName name="NNAgTPGestSOCEDU_BEXN1">0</definedName>
    <definedName name="NNbPersProm_CAN1">0</definedName>
    <definedName name="NNbPersProm_CAproposé">0</definedName>
    <definedName name="NNbPersProm_CAretN2">0</definedName>
    <definedName name="NNbPromu_CAN1">0</definedName>
    <definedName name="NNbPromu_CAproposé">0</definedName>
    <definedName name="NNbPromu_CAretN2">0</definedName>
    <definedName name="NNETPGestSOCEDU_BEXN1">0</definedName>
    <definedName name="NNETPGestSOCEDU_BPN0">0</definedName>
    <definedName name="NNETPGestSOCEDU_BRN0">0</definedName>
    <definedName name="NNETPTPGestSOCEDU_BEXN1">0</definedName>
    <definedName name="NNSalGestAD_AD">0</definedName>
    <definedName name="NNSalGestAD0">0</definedName>
    <definedName name="NNSalGestADB_AD">0</definedName>
    <definedName name="NNSalGestADB0">0</definedName>
    <definedName name="NNSalGestADBmoins1">0</definedName>
    <definedName name="NNSalGestADM_Structure">0</definedName>
    <definedName name="NNSalGestADM0">0</definedName>
    <definedName name="NNSalGestADMmoins1">0</definedName>
    <definedName name="NNSalGestADmoins1">0</definedName>
    <definedName name="NNSalGestAID_TISF">0</definedName>
    <definedName name="NNSalGestAID0">0</definedName>
    <definedName name="NNSalGestAIDmoins1">0</definedName>
    <definedName name="NNSalGestAUP_TISF">0</definedName>
    <definedName name="NNSalGestAUP0">0</definedName>
    <definedName name="NNSalGestAUPmoins1">0</definedName>
    <definedName name="NNSalGestAUT_Structure">0</definedName>
    <definedName name="NNSalGestAUT0">0</definedName>
    <definedName name="NNSalGestAUTmoins1">0</definedName>
    <definedName name="NNSalGestAVS_AVS">0</definedName>
    <definedName name="NNSalGestAVS0">0</definedName>
    <definedName name="NNSalGestAVSmoins1">0</definedName>
    <definedName name="NNSalGestDIR_Structure">0</definedName>
    <definedName name="NNSalGestDIR0">0</definedName>
    <definedName name="NNSalGestDIRmoins1">0</definedName>
    <definedName name="NNSalGestENC_Encadrement">0</definedName>
    <definedName name="NNSalGestENC0">0</definedName>
    <definedName name="NNSalGestENCmoins1">0</definedName>
    <definedName name="NNSalGestPSY_Structure">0</definedName>
    <definedName name="NNSalGestPSY0">0</definedName>
    <definedName name="NNSalGestPSYmoins1">0</definedName>
    <definedName name="NNSalGestSER_Structure">0</definedName>
    <definedName name="NNSalGestSER0">0</definedName>
    <definedName name="NNSalGestSERmoins1">0</definedName>
    <definedName name="NPAD1">0</definedName>
    <definedName name="NPAD2">0</definedName>
    <definedName name="NPAD3">0</definedName>
    <definedName name="NPAD4">0</definedName>
    <definedName name="NPAD5">0</definedName>
    <definedName name="NPAD6">0</definedName>
    <definedName name="NPPIGF1AUT1_Simulatio">0</definedName>
    <definedName name="NPPIGF1AUT1_Simulatio_1">0</definedName>
    <definedName name="NPPIGF1AUT1_Simulatio_2">0</definedName>
    <definedName name="NPPIGF1AUT1_Simulatio_3">0</definedName>
    <definedName name="NPPIGF1AUT1_Simulatio_4">0</definedName>
    <definedName name="NPPIGF1AUT2_Simulatio">0</definedName>
    <definedName name="NPPIGF1AUT2_Simulatio_1">0</definedName>
    <definedName name="NPPIGF1AUT2_Simulatio_2">0</definedName>
    <definedName name="NPPIGF1AUT2_Simulatio_3">0</definedName>
    <definedName name="NPPIGF1AUT2_Simulatio_4">0</definedName>
    <definedName name="NPPIGF1AUT3_Simulatio">0</definedName>
    <definedName name="NPPIGF1AUT3_Simulatio_1">0</definedName>
    <definedName name="NPPIGF1AUT3_Simulatio_2">0</definedName>
    <definedName name="NPPIGF1AUT3_Simulatio_3">0</definedName>
    <definedName name="NPPIGF1AUT3_Simulatio_4">0</definedName>
    <definedName name="NPPIGF2AUT1_Simulatio">0</definedName>
    <definedName name="NPPIGF2AUT1_Simulatio_1">0</definedName>
    <definedName name="NPPIGF2AUT1_Simulatio_2">0</definedName>
    <definedName name="NPPIGF2AUT1_Simulatio_3">0</definedName>
    <definedName name="NPPIGF2AUT1_Simulatio_4">0</definedName>
    <definedName name="NPPIGF2AUT2_Simulatio">0</definedName>
    <definedName name="NPPIGF2AUT2_Simulatio_1">0</definedName>
    <definedName name="NPPIGF2AUT2_Simulatio_2">0</definedName>
    <definedName name="NPPIGF2AUT2_Simulatio_3">0</definedName>
    <definedName name="NPPIGF2AUT2_Simulatio_4">0</definedName>
    <definedName name="NPPIGF2AUT3_Simulatio">0</definedName>
    <definedName name="NPPIGF2AUT3_Simulatio_1">0</definedName>
    <definedName name="NPPIGF2AUT3_Simulatio_2">0</definedName>
    <definedName name="NPPIGF2AUT3_Simulatio_3">0</definedName>
    <definedName name="NPPIGF2AUT3_Simulatio_4">0</definedName>
    <definedName name="NPPIGF3AUT1_Simulatio">0</definedName>
    <definedName name="NPPIGF3AUT1_Simulatio_1">0</definedName>
    <definedName name="NPPIGF3AUT1_Simulatio_2">0</definedName>
    <definedName name="NPPIGF3AUT1_Simulatio_3">0</definedName>
    <definedName name="NPPIGF3AUT1_Simulatio_4">0</definedName>
    <definedName name="NPPIGF3AUT2_Simulatio">0</definedName>
    <definedName name="NPPIGF3AUT2_Simulatio_1">0</definedName>
    <definedName name="NPPIGF3AUT2_Simulatio_2">0</definedName>
    <definedName name="NPPIGF3AUT2_Simulatio_3">0</definedName>
    <definedName name="NPPIGF3AUT2_Simulatio_4">0</definedName>
    <definedName name="NREPORTRESE_Budgetexé_">0</definedName>
    <definedName name="NREPORTRESE_Budgetret_">0</definedName>
    <definedName name="NREPORTRESE_CNR1">0</definedName>
    <definedName name="NREPORTRESE_Dm1">0</definedName>
    <definedName name="NREPORTRESE_MA">0</definedName>
    <definedName name="NREPORTRESE_ME">0</definedName>
    <definedName name="NREPORTRESR_Budgetexé">0</definedName>
    <definedName name="NREPORTRESR_Budgetret">0</definedName>
    <definedName name="NREPORTRESR_CNR1">0</definedName>
    <definedName name="NREPORTRESR_DM1">0</definedName>
    <definedName name="NREPORTRESR_Mandats_émis">0</definedName>
    <definedName name="NREPORTRESR_Mandats_en_annul.">0</definedName>
    <definedName name="NRESREPRIS_Budgetexe">0</definedName>
    <definedName name="NRESREPRIS_Dép_CAPN0">0</definedName>
    <definedName name="NRESREPRIS_Dép_CARN0">0</definedName>
    <definedName name="NRESREPRIS_Héb_CAPN0">0</definedName>
    <definedName name="NRESREPRIS_Héb_CARN0">0</definedName>
    <definedName name="NRESREPRIS_Soi_CAPN0">0</definedName>
    <definedName name="NRESREPRIS_Soi_CARN0">0</definedName>
    <definedName name="NRT1168_Dép_CAPN0">0</definedName>
    <definedName name="NRT1168_Dép_CARN0">0</definedName>
    <definedName name="NRT1168_Héb_CAPN0">0</definedName>
    <definedName name="NRT1168_Héb_CARN0">0</definedName>
    <definedName name="NRT1168_Soi_CAPN0">0</definedName>
    <definedName name="NRT1168_Soi_CARN0">0</definedName>
    <definedName name="NRTAUTDROIT_Budgetpro">0</definedName>
    <definedName name="NRTAUTDROIT_Dép">0</definedName>
    <definedName name="NRTAUTDROIT_Dép_CAPN0">0</definedName>
    <definedName name="NRTAUTDROIT_Dép_CARN0">0</definedName>
    <definedName name="NRTAUTDROIT_Héb">0</definedName>
    <definedName name="NRTAUTDROIT_Héb_CAPN0">0</definedName>
    <definedName name="NRTAUTDROIT_Héb_CARN0">0</definedName>
    <definedName name="NRTAUTDROIT_Soi">0</definedName>
    <definedName name="NRTAUTDROIT_Soi_CAPN0">0</definedName>
    <definedName name="NRTAUTDROIT_Soi_CARN0">0</definedName>
    <definedName name="NRTAUTDROITBPPN0">0</definedName>
    <definedName name="NRTAUTDROITBPRN0">0</definedName>
    <definedName name="NRTCONGPAY_Budgetpro">0</definedName>
    <definedName name="NRTCONGPAY_Dép">0</definedName>
    <definedName name="NRTCONGPAY_Dép_CAPN0">0</definedName>
    <definedName name="NRTCONGPAY_Dép_CARN0">0</definedName>
    <definedName name="NRTCONGPAY_Héb">0</definedName>
    <definedName name="NRTCONGPAY_Héb_CAPN0">0</definedName>
    <definedName name="NRTCONGPAY_Héb_CARN0">0</definedName>
    <definedName name="NRTCONGPAY_Soi">0</definedName>
    <definedName name="NRTCONGPAY_Soi_CAPN0">0</definedName>
    <definedName name="NRTCONGPAY_Soi_CARN0">0</definedName>
    <definedName name="NRTCONGPAYBPPN0">0</definedName>
    <definedName name="NRTCONGPAYBPRN0">0</definedName>
    <definedName name="NRTDOT1161_Budgetpro">0</definedName>
    <definedName name="NRTDOT1161_Dép">0</definedName>
    <definedName name="NRTDOT1161_Dép_CAPN0">0</definedName>
    <definedName name="NRTDOT1161_Dép_CARN0">0</definedName>
    <definedName name="NRTDOT1161_Héb">0</definedName>
    <definedName name="NRTDOT1161_Héb_CAPN0">0</definedName>
    <definedName name="NRTDOT1161_Héb_CARN0">0</definedName>
    <definedName name="NRTDOT1161_Soi">0</definedName>
    <definedName name="NRTDOT1161_Soi_CAPN0">0</definedName>
    <definedName name="NRTDOT1161_Soi_CARN0">0</definedName>
    <definedName name="NRTDOT1161BPPN0">0</definedName>
    <definedName name="NRTDOT1161BPRN0">0</definedName>
    <definedName name="NRTREPRISEAFF_Budgetpro">0</definedName>
    <definedName name="NRTREPRISEAFF_Dép">0</definedName>
    <definedName name="NRTREPRISEAFF_Héb">0</definedName>
    <definedName name="NRTREPRISEAFF_Soi">0</definedName>
    <definedName name="NRTREPRISEAFFBPPN0">0</definedName>
    <definedName name="NRTREPRISEAFFBPRN0">0</definedName>
    <definedName name="NSalAnim_BEXN0">0</definedName>
    <definedName name="NSalAnim0">0</definedName>
    <definedName name="NSalAnim0MSNN0">0</definedName>
    <definedName name="NSalAnimExt_BEXN0">0</definedName>
    <definedName name="NSalAnimExt0">0</definedName>
    <definedName name="NSalAnimExt0MSNN0">0</definedName>
    <definedName name="NSalas_BEXN0">0</definedName>
    <definedName name="NSalas0">0</definedName>
    <definedName name="NSalAS0MSNN0">0</definedName>
    <definedName name="NSalasExt_BEXN0">0</definedName>
    <definedName name="NSalasExt0">0</definedName>
    <definedName name="NSalASExt0MSNN0">0</definedName>
    <definedName name="NSalASH_BEXN0">0</definedName>
    <definedName name="NSalASH0">0</definedName>
    <definedName name="NSalASH0MSNN0">0</definedName>
    <definedName name="NSalASHExt_BEXN0">0</definedName>
    <definedName name="NSalASHExt0">0</definedName>
    <definedName name="NSalASHExt0MSNN0">0</definedName>
    <definedName name="NSalaux_BEXN0">0</definedName>
    <definedName name="NSalaux0">0</definedName>
    <definedName name="NSalaux0MSNN0">0</definedName>
    <definedName name="NSalauxExt_BEXN0">0</definedName>
    <definedName name="NSalauxExt0">0</definedName>
    <definedName name="NSalAuxExt0MSNN0">0</definedName>
    <definedName name="NSalCui_BEXN0">0</definedName>
    <definedName name="NSalCui0">0</definedName>
    <definedName name="NSalCui0MSNN0">0</definedName>
    <definedName name="NSalCuiExt_BEXN0">0</definedName>
    <definedName name="NSalCuiExt0">0</definedName>
    <definedName name="NSalCuiExt0MSNN0">0</definedName>
    <definedName name="NSalDir_BEXN0">0</definedName>
    <definedName name="NSalDir0">0</definedName>
    <definedName name="NSalDir0MSNN0">0</definedName>
    <definedName name="NSalDirExt_BEXN0">0</definedName>
    <definedName name="NSalDirExt0">0</definedName>
    <definedName name="NSalDirExt0MSNN0">0</definedName>
    <definedName name="NSalGestADBn">0</definedName>
    <definedName name="NSalGestADBnBExec">0</definedName>
    <definedName name="NSalGestADMn">0</definedName>
    <definedName name="NSalGestADMnBExec">0</definedName>
    <definedName name="NSalGestADn">0</definedName>
    <definedName name="NSalGestADnBExec">0</definedName>
    <definedName name="NSalGestAIDn">0</definedName>
    <definedName name="NSalGestAIDnBExec">0</definedName>
    <definedName name="NSalGestAMPn">0</definedName>
    <definedName name="NSalGestAMPnBExec">0</definedName>
    <definedName name="NSalGestANIn">0</definedName>
    <definedName name="NSalGestANInBExec">0</definedName>
    <definedName name="NSalGestASHn">0</definedName>
    <definedName name="NSalGestASHnBExec">0</definedName>
    <definedName name="NSalGestASSn">0</definedName>
    <definedName name="NSalGestASSnBExec">0</definedName>
    <definedName name="NSalGestAUEn">0</definedName>
    <definedName name="NSalGestAUEnBExec">0</definedName>
    <definedName name="NSalGestAUPn">0</definedName>
    <definedName name="NSalGestAUPnBExec">0</definedName>
    <definedName name="NSalGestAUTn">0</definedName>
    <definedName name="NSalGestAUTnBExec">0</definedName>
    <definedName name="NSalGestAVSn">0</definedName>
    <definedName name="NSalGestAVSnBExec">0</definedName>
    <definedName name="NSalGestCOMn">0</definedName>
    <definedName name="NSalGestCOMnBExec">0</definedName>
    <definedName name="NSalGestCSEn">0</definedName>
    <definedName name="NSalGestCSEnBExec">0</definedName>
    <definedName name="NSalGestCUIEn">0</definedName>
    <definedName name="NSalGestCUIEnBExec">0</definedName>
    <definedName name="NSalGestCUIn">0</definedName>
    <definedName name="NSalGestCUInBExec">0</definedName>
    <definedName name="NSalGestDETn">0</definedName>
    <definedName name="NSalGestDETnBExec">0</definedName>
    <definedName name="NSalGestDIRn">0</definedName>
    <definedName name="NSalGestDIRnBExec">0</definedName>
    <definedName name="NSalGestEDSn">0</definedName>
    <definedName name="NSalGestEDSnBExec">0</definedName>
    <definedName name="NSalGestEDTn">0</definedName>
    <definedName name="NSalGestEDTnBExec">0</definedName>
    <definedName name="NSalGestEDUn">0</definedName>
    <definedName name="NSalGestEDUnBExec">0</definedName>
    <definedName name="NSalGestEENn">0</definedName>
    <definedName name="NSalGestEENnBExec">0</definedName>
    <definedName name="NSalGestENCn">0</definedName>
    <definedName name="NSalGestENCnBExec">0</definedName>
    <definedName name="NSalGestESPn">0</definedName>
    <definedName name="NSalGestESPnBExec">0</definedName>
    <definedName name="NSalGestGESn">0</definedName>
    <definedName name="NSalGestGESnBExec">0</definedName>
    <definedName name="NSalGestLINn">0</definedName>
    <definedName name="NSalGestLINnBExec">0</definedName>
    <definedName name="NSalGestMDMn">0</definedName>
    <definedName name="NSalGestMDMnBExec">0</definedName>
    <definedName name="NSalGestMEDn">0</definedName>
    <definedName name="NSalGestMEDnBExec">0</definedName>
    <definedName name="NSalGestMENn">0</definedName>
    <definedName name="NSalGestMENnBExec">0</definedName>
    <definedName name="NSalGestMOEn">0</definedName>
    <definedName name="NSalGestMOEnBExec">0</definedName>
    <definedName name="NSalGestnBExec">0</definedName>
    <definedName name="NSalGestOUEn">0</definedName>
    <definedName name="NSalGestOUEnBExec">0</definedName>
    <definedName name="NSalGestPARn">0</definedName>
    <definedName name="NSalGestPARnBExec">0</definedName>
    <definedName name="NSalGestPSYn">0</definedName>
    <definedName name="NSalGestPSYnBExec">0</definedName>
    <definedName name="NSalGestRESn">0</definedName>
    <definedName name="NSalGestRESnBExec">0</definedName>
    <definedName name="NSalGestRTTn">0</definedName>
    <definedName name="NSalGestRTTnBExec">0</definedName>
    <definedName name="NSalGestSERn">0</definedName>
    <definedName name="NSalGestSERnBExec">0</definedName>
    <definedName name="NSalGestVDNn">0</definedName>
    <definedName name="NSalGestVDNnBExec">0</definedName>
    <definedName name="NSalInf_BEXN0">0</definedName>
    <definedName name="NSalInf0">0</definedName>
    <definedName name="NSalInf0MSNN0">0</definedName>
    <definedName name="NSalInfExt_BEXN0">0</definedName>
    <definedName name="NSalInfExt0">0</definedName>
    <definedName name="NSalInfExt0MSNN0">0</definedName>
    <definedName name="NSalMed_BEXN0">0</definedName>
    <definedName name="NSalMed0">0</definedName>
    <definedName name="NSalMed0MSNN0">0</definedName>
    <definedName name="NSalMedExt_BEXN0">0</definedName>
    <definedName name="NSalMedExt0">0</definedName>
    <definedName name="NSalMedExt0MSNN0">0</definedName>
    <definedName name="NSalPha_BEXN0">0</definedName>
    <definedName name="NSalPha0">0</definedName>
    <definedName name="NSalPha0MSNN0">0</definedName>
    <definedName name="NSalPhaExt_BEXN0">0</definedName>
    <definedName name="NSalPhaExt0">0</definedName>
    <definedName name="NSalPhaExt0MSNN0">0</definedName>
    <definedName name="NSalPsy_BEXN0">0</definedName>
    <definedName name="NSalPsy0">0</definedName>
    <definedName name="NSalPsy0MSNN0">0</definedName>
    <definedName name="NSalPsyExt_BEXN0">0</definedName>
    <definedName name="NSalPsyExt0">0</definedName>
    <definedName name="NSalPsyExt0MSNN0">0</definedName>
    <definedName name="NSemiInt_BE">0</definedName>
    <definedName name="NSemiInt_CA">0</definedName>
    <definedName name="NVALDOMINIC">0</definedName>
    <definedName name="ok" localSheetId="18">#REF!</definedName>
    <definedName name="ok">#REF!</definedName>
    <definedName name="OrdrePrio_01">" "</definedName>
    <definedName name="OrdrePrio_02">" "</definedName>
    <definedName name="OrdrePrio_03">" "</definedName>
    <definedName name="OrdrePrio_04">" "</definedName>
    <definedName name="OrdrePrio_05">" "</definedName>
    <definedName name="OrdrePrio_06">" "</definedName>
    <definedName name="OrdrePrio_07">" "</definedName>
    <definedName name="OrdrePrio_08">" "</definedName>
    <definedName name="OrdrePrio_09">" "</definedName>
    <definedName name="OrdrePrio_10">" "</definedName>
    <definedName name="OrdrePrio_11">" "</definedName>
    <definedName name="OrdrePrio_12">" "</definedName>
    <definedName name="OrdrePrio_13">" "</definedName>
    <definedName name="OrdrePrio_14">" "</definedName>
    <definedName name="OrdrePrio_15">" "</definedName>
    <definedName name="OrdrePrio_16">" "</definedName>
    <definedName name="OrdrePrio_17">" "</definedName>
    <definedName name="OrdrePrio_18">" "</definedName>
    <definedName name="OrdrePrio_19">" "</definedName>
    <definedName name="OrdrePrio_20">" "</definedName>
    <definedName name="org_OGRaisonSociale">" "</definedName>
    <definedName name="oui_non">[1]Liste!$B$2:$B$4</definedName>
    <definedName name="PAD1_0_GLOBAL">0</definedName>
    <definedName name="PAD1_m1_GLOBAL">0</definedName>
    <definedName name="PAD1_m2_GLOBAL">0</definedName>
    <definedName name="PAD1_m3_GLOBAL">0</definedName>
    <definedName name="PAD2_0_GLOBAL">0</definedName>
    <definedName name="PAD2_m1_GLOBAL">0</definedName>
    <definedName name="PAD2_m2_GLOBAL">0</definedName>
    <definedName name="PAD2_m3_GLOBAL">0</definedName>
    <definedName name="PAD3_0_GLOBAL">0</definedName>
    <definedName name="PAD3_m1_GLOBAL">0</definedName>
    <definedName name="PAD3_m2_GLOBAL">0</definedName>
    <definedName name="PAD3_m3_GLOBAL">0</definedName>
    <definedName name="PAD4_0_GLOBAL">0</definedName>
    <definedName name="PAD4_m1_GLOBAL">0</definedName>
    <definedName name="PAD4_m2_GLOBAL">0</definedName>
    <definedName name="PAD4_m3_GLOBAL">0</definedName>
    <definedName name="PAD5_0_GLOBAL">0</definedName>
    <definedName name="PAD5_m1_GLOBAL">0</definedName>
    <definedName name="PAD5_m2_GLOBAL">0</definedName>
    <definedName name="PAD5_m3_GLOBAL">0</definedName>
    <definedName name="PAD6_0_GLOBAL">0</definedName>
    <definedName name="PAD6_m1_GLOBAL">0</definedName>
    <definedName name="PAD6_m2_GLOBAL">0</definedName>
    <definedName name="PAD6_m3_GLOBAL">0</definedName>
    <definedName name="PFFAA">0</definedName>
    <definedName name="PFFAASimNP1">0</definedName>
    <definedName name="PFFAASimNP2">0</definedName>
    <definedName name="PFFAASimNP3">0</definedName>
    <definedName name="PFFAASimNP4">0</definedName>
    <definedName name="PFFAASimNP5">0</definedName>
    <definedName name="PFFAB">0</definedName>
    <definedName name="PFFABSimNP1">0</definedName>
    <definedName name="PFFABSimNP2">0</definedName>
    <definedName name="PFFABSimNP3">0</definedName>
    <definedName name="PFFABSimNP4">0</definedName>
    <definedName name="PFFABSimNP5">0</definedName>
    <definedName name="PFFAC">0</definedName>
    <definedName name="PFFACSimNP1">0</definedName>
    <definedName name="PFFACSimNP2">0</definedName>
    <definedName name="PFFACSimNP3">0</definedName>
    <definedName name="PFFACSimNP4">0</definedName>
    <definedName name="PFFACSimNP5">0</definedName>
    <definedName name="PFFAD">0</definedName>
    <definedName name="PFFADSimNP1">0</definedName>
    <definedName name="PFFADSimNP2">0</definedName>
    <definedName name="PFFADSimNP3">0</definedName>
    <definedName name="PFFADSimNP4">0</definedName>
    <definedName name="PFFADSimNP5">0</definedName>
    <definedName name="PFFAE">0</definedName>
    <definedName name="PFFAESimNP1">0</definedName>
    <definedName name="PFFAESimNP2">0</definedName>
    <definedName name="PFFAESimNP3">0</definedName>
    <definedName name="PFFAESimNP4">0</definedName>
    <definedName name="PFFAESimNP5">0</definedName>
    <definedName name="PFFBA">0</definedName>
    <definedName name="PFFBASimNP1">0</definedName>
    <definedName name="PFFBASimNP2">0</definedName>
    <definedName name="PFFBASimNP3">0</definedName>
    <definedName name="PFFBASimNP4">0</definedName>
    <definedName name="PFFBASimNP5">0</definedName>
    <definedName name="PFFBB">0</definedName>
    <definedName name="PFFBBSimNP1">0</definedName>
    <definedName name="PFFBBSimNP2">0</definedName>
    <definedName name="PFFBBSimNP3">0</definedName>
    <definedName name="PFFBBSimNP4">0</definedName>
    <definedName name="PFFBBSimNP5">0</definedName>
    <definedName name="PFFBC">0</definedName>
    <definedName name="PFFBCSimNP1">0</definedName>
    <definedName name="PFFBCSimNP2">0</definedName>
    <definedName name="PFFBCSimNP3">0</definedName>
    <definedName name="PFFBCSimNP4">0</definedName>
    <definedName name="PFFBCSimNP5">0</definedName>
    <definedName name="PFFBD">0</definedName>
    <definedName name="PFFBDSimNP1">0</definedName>
    <definedName name="PFFBDSimNP2">0</definedName>
    <definedName name="PFFBDSimNP3">0</definedName>
    <definedName name="PFFBDSimNP4">0</definedName>
    <definedName name="PFFBDSimNP5">0</definedName>
    <definedName name="PFFBE">0</definedName>
    <definedName name="PFFBESimNP1">0</definedName>
    <definedName name="PFFBESimNP2">0</definedName>
    <definedName name="PFFBESimNP3">0</definedName>
    <definedName name="PFFBESimNP4">0</definedName>
    <definedName name="PFFBESimNP5">0</definedName>
    <definedName name="PFFBF">0</definedName>
    <definedName name="PFFBFSimNP1">0</definedName>
    <definedName name="PFFBFSimNP2">0</definedName>
    <definedName name="PFFBFSimNP3">0</definedName>
    <definedName name="PFFBFSimNP4">0</definedName>
    <definedName name="PFFBFSimNP5">0</definedName>
    <definedName name="PFFCA">0</definedName>
    <definedName name="PFFCASimNP1">0</definedName>
    <definedName name="PFFCASimNP2">0</definedName>
    <definedName name="PFFCASimNP3">0</definedName>
    <definedName name="PFFCASimNP4">0</definedName>
    <definedName name="PFFCASimNP5">0</definedName>
    <definedName name="PFFCB">0</definedName>
    <definedName name="PFFCBSimNP1">0</definedName>
    <definedName name="PFFCBSimNP2">0</definedName>
    <definedName name="PFFCBSimNP3">0</definedName>
    <definedName name="PFFCBSimNP4">0</definedName>
    <definedName name="PFFCBSimNP5">0</definedName>
    <definedName name="PFFCC">0</definedName>
    <definedName name="PFFCCSimNP1">0</definedName>
    <definedName name="PFFCCSimNP2">0</definedName>
    <definedName name="PFFCCSimNP3">0</definedName>
    <definedName name="PFFCCSimNP4">0</definedName>
    <definedName name="PFFCCSimNP5">0</definedName>
    <definedName name="PFFCD">0</definedName>
    <definedName name="PFFCDSimNP1">0</definedName>
    <definedName name="PFFCDSimNP2">0</definedName>
    <definedName name="PFFCDSimNP3">0</definedName>
    <definedName name="PFFCDSimNP4">0</definedName>
    <definedName name="PFFCDSimNP5">0</definedName>
    <definedName name="PFFCE">0</definedName>
    <definedName name="PFFCESimNP1">0</definedName>
    <definedName name="PFFCESimNP2">0</definedName>
    <definedName name="PFFCESimNP3">0</definedName>
    <definedName name="PFFCESimNP4">0</definedName>
    <definedName name="PFFCESimNP5">0</definedName>
    <definedName name="PFFDA">0</definedName>
    <definedName name="PFFDASimNP1">0</definedName>
    <definedName name="PFFDASimNP2">0</definedName>
    <definedName name="PFFDASimNP3">0</definedName>
    <definedName name="PFFDASimNP4">0</definedName>
    <definedName name="PFFDASimNP5">0</definedName>
    <definedName name="PFFDB">0</definedName>
    <definedName name="PFFDBSimNP1">0</definedName>
    <definedName name="PFFDBSimNP2">0</definedName>
    <definedName name="PFFDBSimNP3">0</definedName>
    <definedName name="PFFDBSimNP4">0</definedName>
    <definedName name="PFFDBSimNP5">0</definedName>
    <definedName name="PFFDC">0</definedName>
    <definedName name="PFFDCSimNP1">0</definedName>
    <definedName name="PFFDCSimNP2">0</definedName>
    <definedName name="PFFDCSimNP3">0</definedName>
    <definedName name="PFFDCSimNP4">0</definedName>
    <definedName name="PFFDCSimNP5">0</definedName>
    <definedName name="PFFDE">0</definedName>
    <definedName name="PFFDESimNP1">0</definedName>
    <definedName name="PFFDESimNP2">0</definedName>
    <definedName name="PFFDESimNP3">0</definedName>
    <definedName name="PFFDESimNP4">0</definedName>
    <definedName name="PFFDESimNP5">0</definedName>
    <definedName name="PFFDF">0</definedName>
    <definedName name="PFFDFSimNP1">0</definedName>
    <definedName name="PFFDFSimNP2">0</definedName>
    <definedName name="PFFDFSimNP3">0</definedName>
    <definedName name="PFFDFSimNP4">0</definedName>
    <definedName name="PFFDFSimNP5">0</definedName>
    <definedName name="PFNBAA">0</definedName>
    <definedName name="PFNBAASimNP1">0</definedName>
    <definedName name="PFNBAASimNP2">0</definedName>
    <definedName name="PFNBAASimNP3">0</definedName>
    <definedName name="PFNBAASimNP4">0</definedName>
    <definedName name="PFNBAASimNP5">0</definedName>
    <definedName name="PFNBAB">0</definedName>
    <definedName name="PFNBABSimNP1">0</definedName>
    <definedName name="PFNBABSimNP2">0</definedName>
    <definedName name="PFNBABSimNP3">0</definedName>
    <definedName name="PFNBABSimNP4">0</definedName>
    <definedName name="PFNBABSimNP5">0</definedName>
    <definedName name="PFNBAC">0</definedName>
    <definedName name="PFNBAC1SimNP1">0</definedName>
    <definedName name="PFNBAC1SimNP2">0</definedName>
    <definedName name="PFNBAC1SimNP3">0</definedName>
    <definedName name="PFNBAC1SimNP4">0</definedName>
    <definedName name="PFNBAC1SimNP5">0</definedName>
    <definedName name="PFNBAC2SimNP1">0</definedName>
    <definedName name="PFNBAC2SimNP2">0</definedName>
    <definedName name="PFNBAC2SimNP3">0</definedName>
    <definedName name="PFNBAC2SimNP4">0</definedName>
    <definedName name="PFNBAC2SimNP5">0</definedName>
    <definedName name="PFNBACSimNP1">0</definedName>
    <definedName name="PFNBACSimNP2">0</definedName>
    <definedName name="PFNBACSimNP3">0</definedName>
    <definedName name="PFNBACSimNP4">0</definedName>
    <definedName name="PFNBACSimNP5">0</definedName>
    <definedName name="PFNBAD">0</definedName>
    <definedName name="PFNBADSimNP1">0</definedName>
    <definedName name="PFNBADSimNP2">0</definedName>
    <definedName name="PFNBADSimNP3">0</definedName>
    <definedName name="PFNBADSimNP4">0</definedName>
    <definedName name="PFNBADSimNP5">0</definedName>
    <definedName name="PFNBAE">0</definedName>
    <definedName name="PFNBAESimNP1">0</definedName>
    <definedName name="PFNBAESimNP2">0</definedName>
    <definedName name="PFNBAESimNP3">0</definedName>
    <definedName name="PFNBAESimNP4">0</definedName>
    <definedName name="PFNBAESimNP5">0</definedName>
    <definedName name="PFNBAG">0</definedName>
    <definedName name="PFNBAGSimNP1">0</definedName>
    <definedName name="PFNBAGSimNP2">0</definedName>
    <definedName name="PFNBAGSimNP3">0</definedName>
    <definedName name="PFNBAGSimNP4">0</definedName>
    <definedName name="PFNBAGSimNP5">0</definedName>
    <definedName name="PFNBAH">0</definedName>
    <definedName name="PFNBAHSimNP1">0</definedName>
    <definedName name="PFNBAHSimNP2">0</definedName>
    <definedName name="PFNBAHSimNP3">0</definedName>
    <definedName name="PFNBAHSimNP4">0</definedName>
    <definedName name="PFNBAHSimNP5">0</definedName>
    <definedName name="PFNBAI">0</definedName>
    <definedName name="PFNBAISimNP1">0</definedName>
    <definedName name="PFNBAISimNP2">0</definedName>
    <definedName name="PFNBAISimNP3">0</definedName>
    <definedName name="PFNBAISimNP4">0</definedName>
    <definedName name="PFNBAISimNP5">0</definedName>
    <definedName name="PFNBAJ">0</definedName>
    <definedName name="PFNBAJSimNP1">0</definedName>
    <definedName name="PFNBAJSimNP2">0</definedName>
    <definedName name="PFNBAJSimNP3">0</definedName>
    <definedName name="PFNBAJSimNP4">0</definedName>
    <definedName name="PFNBAJSimNP5">0</definedName>
    <definedName name="PFNBAK">0</definedName>
    <definedName name="PFNBAKSimNP1">0</definedName>
    <definedName name="PFNBAKSimNP2">0</definedName>
    <definedName name="PFNBAKSimNP3">0</definedName>
    <definedName name="PFNBAKSimNP4">0</definedName>
    <definedName name="PFNBAKSimNP5">0</definedName>
    <definedName name="PFNBAL">0</definedName>
    <definedName name="PFNBALSimNP1">0</definedName>
    <definedName name="PFNBALSimNP2">0</definedName>
    <definedName name="PFNBALSimNP3">0</definedName>
    <definedName name="PFNBALSimNP4">0</definedName>
    <definedName name="PFNBALSimNP5">0</definedName>
    <definedName name="PFNBAM">0</definedName>
    <definedName name="PFNBAMSimNP1">0</definedName>
    <definedName name="PFNBAMSimNP2">0</definedName>
    <definedName name="PFNBAMSimNP3">0</definedName>
    <definedName name="PFNBAMSimNP4">0</definedName>
    <definedName name="PFNBAMSimNP5">0</definedName>
    <definedName name="PFNBAN">0</definedName>
    <definedName name="PFNBAN1SimNP1">0</definedName>
    <definedName name="PFNBAN1SimNP2">0</definedName>
    <definedName name="PFNBAN1SimNP3">0</definedName>
    <definedName name="PFNBAN1SimNP4">0</definedName>
    <definedName name="PFNBAN1SimNP5">0</definedName>
    <definedName name="PFNBANSimNP1">0</definedName>
    <definedName name="PFNBANSimNP2">0</definedName>
    <definedName name="PFNBANSimNP3">0</definedName>
    <definedName name="PFNBANSimNP4">0</definedName>
    <definedName name="PFNBANSimNP5">0</definedName>
    <definedName name="PFNBAO">0</definedName>
    <definedName name="PFNBAOSimNP1">0</definedName>
    <definedName name="PFNBAOSimNP2">0</definedName>
    <definedName name="PFNBAOSimNP3">0</definedName>
    <definedName name="PFNBAOSimNP4">0</definedName>
    <definedName name="PFNBAOSimNP5">0</definedName>
    <definedName name="PFNBAP">0</definedName>
    <definedName name="PFNBAPSimNP1">0</definedName>
    <definedName name="PFNBAPSimNP2">0</definedName>
    <definedName name="PFNBAPSimNP3">0</definedName>
    <definedName name="PFNBAPSimNP4">0</definedName>
    <definedName name="PFNBAPSimNP5">0</definedName>
    <definedName name="PFNBAQ">0</definedName>
    <definedName name="PFNBAQSimNP1">0</definedName>
    <definedName name="PFNBAQSimNP2">0</definedName>
    <definedName name="PFNBAQSimNP3">0</definedName>
    <definedName name="PFNBAQSimNP4">0</definedName>
    <definedName name="PFNBAQSimNP5">0</definedName>
    <definedName name="PFNBAR">0</definedName>
    <definedName name="PFNBARSimNP1">0</definedName>
    <definedName name="PFNBARSimNP2">0</definedName>
    <definedName name="PFNBARSimNP3">0</definedName>
    <definedName name="PFNBARSimNP4">0</definedName>
    <definedName name="PFNBARSimNP5">0</definedName>
    <definedName name="PFNBAS">0</definedName>
    <definedName name="PFNBASSimNP1">0</definedName>
    <definedName name="PFNBASSimNP2">0</definedName>
    <definedName name="PFNBASSimNP3">0</definedName>
    <definedName name="PFNBASSimNP4">0</definedName>
    <definedName name="PFNBASSimNP5">0</definedName>
    <definedName name="PFNBAT">0</definedName>
    <definedName name="PFNBATSimNP1">0</definedName>
    <definedName name="PFNBATSimNP2">0</definedName>
    <definedName name="PFNBATSimNP3">0</definedName>
    <definedName name="PFNBATSimNP4">0</definedName>
    <definedName name="PFNBATSimNP5">0</definedName>
    <definedName name="PFNBAU">0</definedName>
    <definedName name="PFNBAUSimNP1">0</definedName>
    <definedName name="PFNBAUSimNP2">0</definedName>
    <definedName name="PFNBAUSimNP3">0</definedName>
    <definedName name="PFNBAUSimNP4">0</definedName>
    <definedName name="PFNBAUSimNP5">0</definedName>
    <definedName name="PFNBAV">0</definedName>
    <definedName name="PFNBAVSimNP1">0</definedName>
    <definedName name="PFNBAVSimNP2">0</definedName>
    <definedName name="PFNBAVSimNP3">0</definedName>
    <definedName name="PFNBAVSimNP4">0</definedName>
    <definedName name="PFNBAVSimNP5">0</definedName>
    <definedName name="PFNBAW">0</definedName>
    <definedName name="PFNBAWSimNP1">0</definedName>
    <definedName name="PFNBAWSimNP2">0</definedName>
    <definedName name="PFNBAWSimNP3">0</definedName>
    <definedName name="PFNBAWSimNP4">0</definedName>
    <definedName name="PFNBAWSimNP5">0</definedName>
    <definedName name="PFNBAX">0</definedName>
    <definedName name="PFNBAXSimNP1">0</definedName>
    <definedName name="PFNBAXSimNP2">0</definedName>
    <definedName name="PFNBAXSimNP3">0</definedName>
    <definedName name="PFNBAXSimNP4">0</definedName>
    <definedName name="PFNBAXSimNP5">0</definedName>
    <definedName name="PFNBAY">0</definedName>
    <definedName name="PFNBAYSimNP1">0</definedName>
    <definedName name="PFNBAYSimNP2">0</definedName>
    <definedName name="PFNBAYSimNP3">0</definedName>
    <definedName name="PFNBAYSimNP4">0</definedName>
    <definedName name="PFNBAYSimNP5">0</definedName>
    <definedName name="PFNBAZ">0</definedName>
    <definedName name="PFNBAZSimNP1">0</definedName>
    <definedName name="PFNBAZSimNP2">0</definedName>
    <definedName name="PFNBAZSimNP3">0</definedName>
    <definedName name="PFNBAZSimNP4">0</definedName>
    <definedName name="PFNBAZSimNP5">0</definedName>
    <definedName name="PFNBBA">0</definedName>
    <definedName name="PFNBBASimNP1">0</definedName>
    <definedName name="PFNBBASimNP2">0</definedName>
    <definedName name="PFNBBASimNP3">0</definedName>
    <definedName name="PFNBBASimNP4">0</definedName>
    <definedName name="PFNBBASimNP5">0</definedName>
    <definedName name="PFNBBB">0</definedName>
    <definedName name="PFNBBBSimNP1">0</definedName>
    <definedName name="PFNBBBSimNP2">0</definedName>
    <definedName name="PFNBBBSimNP3">0</definedName>
    <definedName name="PFNBBBSimNP4">0</definedName>
    <definedName name="PFNBBBSimNP5">0</definedName>
    <definedName name="PFNBBC">0</definedName>
    <definedName name="PFNBBCSimNP1">0</definedName>
    <definedName name="PFNBBCSimNP2">0</definedName>
    <definedName name="PFNBBCSimNP3">0</definedName>
    <definedName name="PFNBBCSimNP4">0</definedName>
    <definedName name="PFNBBCSimNP5">0</definedName>
    <definedName name="PFNBBD">0</definedName>
    <definedName name="PFNBBDSimNP1">0</definedName>
    <definedName name="PFNBBDSimNP2">0</definedName>
    <definedName name="PFNBBDSimNP3">0</definedName>
    <definedName name="PFNBBDSimNP4">0</definedName>
    <definedName name="PFNBBDSimNP5">0</definedName>
    <definedName name="PFNBBE">0</definedName>
    <definedName name="PFNBBE1SimNP1">0</definedName>
    <definedName name="PFNBBE1SimNP2">0</definedName>
    <definedName name="PFNBBE1SimNP3">0</definedName>
    <definedName name="PFNBBE1SimNP4">0</definedName>
    <definedName name="PFNBBE1SimNP5">0</definedName>
    <definedName name="PFNBBESimNP1">0</definedName>
    <definedName name="PFNBBESimNP2">0</definedName>
    <definedName name="PFNBBESimNP3">0</definedName>
    <definedName name="PFNBBESimNP4">0</definedName>
    <definedName name="PFNBBESimNP5">0</definedName>
    <definedName name="PFNBBF">0</definedName>
    <definedName name="PFNBBFSimNP1">0</definedName>
    <definedName name="PFNBBFSimNP2">0</definedName>
    <definedName name="PFNBBFSimNP3">0</definedName>
    <definedName name="PFNBBFSimNP4">0</definedName>
    <definedName name="PFNBBFSimNP5">0</definedName>
    <definedName name="PFNBBG">0</definedName>
    <definedName name="PFNBBGSimNP1">0</definedName>
    <definedName name="PFNBBGSimNP2">0</definedName>
    <definedName name="PFNBBGSimNP3">0</definedName>
    <definedName name="PFNBBGSimNP4">0</definedName>
    <definedName name="PFNBBGSimNP5">0</definedName>
    <definedName name="PFNBBH">0</definedName>
    <definedName name="PFNBBHSimNP1">0</definedName>
    <definedName name="PFNBBHSimNP2">0</definedName>
    <definedName name="PFNBBHSimNP3">0</definedName>
    <definedName name="PFNBBHSimNP4">0</definedName>
    <definedName name="PFNBBHSimNP5">0</definedName>
    <definedName name="PFNBBI">0</definedName>
    <definedName name="PFNBBISimNP1">0</definedName>
    <definedName name="PFNBBISimNP2">0</definedName>
    <definedName name="PFNBBISimNP3">0</definedName>
    <definedName name="PFNBBISimNP4">0</definedName>
    <definedName name="PFNBBISimNP5">0</definedName>
    <definedName name="PFNBBJ">0</definedName>
    <definedName name="PFNBBJSimNP1">0</definedName>
    <definedName name="PFNBBJSimNP2">0</definedName>
    <definedName name="PFNBBJSimNP3">0</definedName>
    <definedName name="PFNBBJSimNP4">0</definedName>
    <definedName name="PFNBBJSimNP5">0</definedName>
    <definedName name="PFNBBK">0</definedName>
    <definedName name="PFNBBK1SimNP1">0</definedName>
    <definedName name="PFNBBK1SimNP2">0</definedName>
    <definedName name="PFNBBK1SimNP3">0</definedName>
    <definedName name="PFNBBK1SimNP4">0</definedName>
    <definedName name="PFNBBK1SimNP5">0</definedName>
    <definedName name="PFNBBK2SimNP1">0</definedName>
    <definedName name="PFNBBK2SimNP2">0</definedName>
    <definedName name="PFNBBK2SimNP3">0</definedName>
    <definedName name="PFNBBK2SimNP4">0</definedName>
    <definedName name="PFNBBK2SimNP5">0</definedName>
    <definedName name="PFNBBK3SimNP1">0</definedName>
    <definedName name="PFNBBK3SimNP2">0</definedName>
    <definedName name="PFNBBK3SimNP3">0</definedName>
    <definedName name="PFNBBK3SimNP4">0</definedName>
    <definedName name="PFNBBK3SimNP5">0</definedName>
    <definedName name="PFNBBKSimNP1">0</definedName>
    <definedName name="PFNBBKSimNP2">0</definedName>
    <definedName name="PFNBBKSimNP3">0</definedName>
    <definedName name="PFNBBKSimNP4">0</definedName>
    <definedName name="PFNBBKSimNP5">0</definedName>
    <definedName name="PFNBBL">0</definedName>
    <definedName name="PFNBBLSimNP1">0</definedName>
    <definedName name="PFNBBLSimNP2">0</definedName>
    <definedName name="PFNBBLSimNP3">0</definedName>
    <definedName name="PFNBBLSimNP4">0</definedName>
    <definedName name="PFNBBLSimNP5">0</definedName>
    <definedName name="PFNBBM">0</definedName>
    <definedName name="PFNBBMSimNP1">0</definedName>
    <definedName name="PFNBBMSimNP2">0</definedName>
    <definedName name="PFNBBMSimNP3">0</definedName>
    <definedName name="PFNBBMSimNP4">0</definedName>
    <definedName name="PFNBBMSimNP5">0</definedName>
    <definedName name="PFNBCA">0</definedName>
    <definedName name="PFNBCASimNP1">0</definedName>
    <definedName name="PFNBCASimNP2">0</definedName>
    <definedName name="PFNBCASimNP3">0</definedName>
    <definedName name="PFNBCASimNP4">0</definedName>
    <definedName name="PFNBCASimNP5">0</definedName>
    <definedName name="PFNBCB">0</definedName>
    <definedName name="PFNBCBSimNP1">0</definedName>
    <definedName name="PFNBCBSimNP2">0</definedName>
    <definedName name="PFNBCBSimNP3">0</definedName>
    <definedName name="PFNBCBSimNP4">0</definedName>
    <definedName name="PFNBCBSimNP5">0</definedName>
    <definedName name="PFNBCC">0</definedName>
    <definedName name="PFNBCCSimNP1">0</definedName>
    <definedName name="PFNBCCSimNP2">0</definedName>
    <definedName name="PFNBCCSimNP3">0</definedName>
    <definedName name="PFNBCCSimNP4">0</definedName>
    <definedName name="PFNBCCSimNP5">0</definedName>
    <definedName name="PFNBCD">0</definedName>
    <definedName name="PFNBCDSimNP1">0</definedName>
    <definedName name="PFNBCDSimNP2">0</definedName>
    <definedName name="PFNBCDSimNP3">0</definedName>
    <definedName name="PFNBCDSimNP4">0</definedName>
    <definedName name="PFNBCDSimNP5">0</definedName>
    <definedName name="PFNBCE">0</definedName>
    <definedName name="PFNBCESimNP1">0</definedName>
    <definedName name="PFNBCESimNP2">0</definedName>
    <definedName name="PFNBCESimNP3">0</definedName>
    <definedName name="PFNBCESimNP4">0</definedName>
    <definedName name="PFNBCESimNP5">0</definedName>
    <definedName name="PFNBCF">0</definedName>
    <definedName name="PFNBCF1SimNP1">0</definedName>
    <definedName name="PFNBCF1SimNP2">0</definedName>
    <definedName name="PFNBCF1SimNP3">0</definedName>
    <definedName name="PFNBCF1SimNP4">0</definedName>
    <definedName name="PFNBCF1SimNP5">0</definedName>
    <definedName name="PFNBCFSimNP1">0</definedName>
    <definedName name="PFNBCFSimNP2">0</definedName>
    <definedName name="PFNBCFSimNP3">0</definedName>
    <definedName name="PFNBCFSimNP4">0</definedName>
    <definedName name="PFNBCFSimNP5">0</definedName>
    <definedName name="PFNBCG">0</definedName>
    <definedName name="PFNBCGSimNP1">0</definedName>
    <definedName name="PFNBCGSimNP2">0</definedName>
    <definedName name="PFNBCGSimNP3">0</definedName>
    <definedName name="PFNBCGSimNP4">0</definedName>
    <definedName name="PFNBCGSimNP5">0</definedName>
    <definedName name="PFNBCH">0</definedName>
    <definedName name="PFNBCHSimNP1">0</definedName>
    <definedName name="PFNBCHSimNP2">0</definedName>
    <definedName name="PFNBCHSimNP3">0</definedName>
    <definedName name="PFNBCHSimNP4">0</definedName>
    <definedName name="PFNBCHSimNP5">0</definedName>
    <definedName name="PFNBCI">0</definedName>
    <definedName name="PFNBCISimNP1">0</definedName>
    <definedName name="PFNBCISimNP2">0</definedName>
    <definedName name="PFNBCISimNP3">0</definedName>
    <definedName name="PFNBCISimNP4">0</definedName>
    <definedName name="PFNBCISimNP5">0</definedName>
    <definedName name="PFNBCJ">0</definedName>
    <definedName name="PFNBCJSimNP1">0</definedName>
    <definedName name="PFNBCJSimNP2">0</definedName>
    <definedName name="PFNBCJSimNP3">0</definedName>
    <definedName name="PFNBCJSimNP4">0</definedName>
    <definedName name="PFNBCJSimNP5">0</definedName>
    <definedName name="PFNBCK">0</definedName>
    <definedName name="PFNBCKSimNP1">0</definedName>
    <definedName name="PFNBCKSimNP2">0</definedName>
    <definedName name="PFNBCKSimNP3">0</definedName>
    <definedName name="PFNBCKSimNP4">0</definedName>
    <definedName name="PFNBCKSimNP5">0</definedName>
    <definedName name="PFNBCL">0</definedName>
    <definedName name="PFNBCL1SimNP1">0</definedName>
    <definedName name="PFNBCL1SimNP2">0</definedName>
    <definedName name="PFNBCL1SimNP3">0</definedName>
    <definedName name="PFNBCL1SimNP4">0</definedName>
    <definedName name="PFNBCL1SimNP5">0</definedName>
    <definedName name="PFNBCLSimNP1">0</definedName>
    <definedName name="PFNBCLSimNP2">0</definedName>
    <definedName name="PFNBCLSimNP3">0</definedName>
    <definedName name="PFNBCLSimNP4">0</definedName>
    <definedName name="PFNBCLSimNP5">0</definedName>
    <definedName name="PFNBCM">0</definedName>
    <definedName name="PFNBCMSimNP1">0</definedName>
    <definedName name="PFNBCMSimNP2">0</definedName>
    <definedName name="PFNBCMSimNP3">0</definedName>
    <definedName name="PFNBCMSimNP4">0</definedName>
    <definedName name="PFNBCMSimNP5">0</definedName>
    <definedName name="PFNBCO">0</definedName>
    <definedName name="PFNBCOSimNP1">0</definedName>
    <definedName name="PFNBCOSimNP2">0</definedName>
    <definedName name="PFNBCOSimNP3">0</definedName>
    <definedName name="PFNBCOSimNP4">0</definedName>
    <definedName name="PFNBCOSimNP5">0</definedName>
    <definedName name="PFNBDB">0</definedName>
    <definedName name="PFNBDBSimNP1">0</definedName>
    <definedName name="PFNBDBSimNP2">0</definedName>
    <definedName name="PFNBDBSimNP3">0</definedName>
    <definedName name="PFNBDBSimNP4">0</definedName>
    <definedName name="PFNBDBSimNP5">0</definedName>
    <definedName name="PFNBDC">0</definedName>
    <definedName name="PFNBDCSimNP1">0</definedName>
    <definedName name="PFNBDCSimNP2">0</definedName>
    <definedName name="PFNBDCSimNP3">0</definedName>
    <definedName name="PFNBDCSimNP4">0</definedName>
    <definedName name="PFNBDCSimNP5">0</definedName>
    <definedName name="PFNBDD">0</definedName>
    <definedName name="PFNBDDSimNP1">0</definedName>
    <definedName name="PFNBDDSimNP2">0</definedName>
    <definedName name="PFNBDDSimNP3">0</definedName>
    <definedName name="PFNBDDSimNP4">0</definedName>
    <definedName name="PFNBDDSimNP5">0</definedName>
    <definedName name="PFNBDE">0</definedName>
    <definedName name="PFNBDESimNP1">0</definedName>
    <definedName name="PFNBDESimNP2">0</definedName>
    <definedName name="PFNBDESimNP3">0</definedName>
    <definedName name="PFNBDESimNP4">0</definedName>
    <definedName name="PFNBDESimNP5">0</definedName>
    <definedName name="PJBP">0</definedName>
    <definedName name="PJBR">0</definedName>
    <definedName name="PPSI_AnneesJ">PPI!$S$524:$AB$524</definedName>
    <definedName name="PresentationCNSA">"OUI"</definedName>
    <definedName name="PrixJourBEXN0">0</definedName>
    <definedName name="PrixJourBEXN1">0</definedName>
    <definedName name="PrixJourBPPN0">0</definedName>
    <definedName name="PrixJourBPPNAD">0</definedName>
    <definedName name="PrixJourBPPNAVS">0</definedName>
    <definedName name="PrixJourBPPNENC">0</definedName>
    <definedName name="PrixJourBPPNTISF">0</definedName>
    <definedName name="PrixJourBRN0">0</definedName>
    <definedName name="PrixJourCARN2">0</definedName>
    <definedName name="PrixJourMSNN0">0</definedName>
    <definedName name="PrixRevBEXN0">0</definedName>
    <definedName name="PrixRevBEXN1">0</definedName>
    <definedName name="PrixRevBPPN0">0</definedName>
    <definedName name="PrixRevBPPNAD">0</definedName>
    <definedName name="PrixRevBPPNAVS">0</definedName>
    <definedName name="PrixRevBPPNENC">0</definedName>
    <definedName name="PrixRevBPPNTISF">0</definedName>
    <definedName name="PrixRevBRN0">0</definedName>
    <definedName name="PrixRevCARN2">0</definedName>
    <definedName name="PrixRevMSNN0">0</definedName>
    <definedName name="RABEXN0">0</definedName>
    <definedName name="RABEXN1">0</definedName>
    <definedName name="RABPPN0">0</definedName>
    <definedName name="RABPPNAD">0</definedName>
    <definedName name="RABPPNAVS">0</definedName>
    <definedName name="RABPPNENC">0</definedName>
    <definedName name="RABPPNTISF">0</definedName>
    <definedName name="RABRN0">0</definedName>
    <definedName name="RACARN2">0</definedName>
    <definedName name="RAMSNN0">0</definedName>
    <definedName name="RE_ca_propose_0_DÉPENDANCE">0</definedName>
    <definedName name="RE_ca_propose_0_GLOBAL">0</definedName>
    <definedName name="RE_ca_propose_0_HÉBERGEMENT">0</definedName>
    <definedName name="RE_ca_propose_0_SOINS">0</definedName>
    <definedName name="RE_ca_retenu_0_DÉPENDANCE">0</definedName>
    <definedName name="RE_ca_retenu_0_GLOBAL">0</definedName>
    <definedName name="RE_ca_retenu_0_HÉBERGEMENT">0</definedName>
    <definedName name="RE_ca_retenu_0_SOINS">0</definedName>
    <definedName name="REBEXN0">0</definedName>
    <definedName name="REBEXN1">0</definedName>
    <definedName name="REBPPN0">0</definedName>
    <definedName name="REBPPNAD">0</definedName>
    <definedName name="REBPPNAVS">0</definedName>
    <definedName name="REBPPNENC">0</definedName>
    <definedName name="REBPPNTISF">0</definedName>
    <definedName name="REBRN0">0</definedName>
    <definedName name="RECARN2">0</definedName>
    <definedName name="RECETATENBP">0</definedName>
    <definedName name="RECETATENBR">0</definedName>
    <definedName name="REDEPENSES_budget_executoire_0_GLOBAL">0</definedName>
    <definedName name="REDEPENSES_ca_propose_0_GLOBAL">0</definedName>
    <definedName name="Remplacementsn">0</definedName>
    <definedName name="RemplacementsnBExec">0</definedName>
    <definedName name="REMSNN0">0</definedName>
    <definedName name="REPORTRESE_BE1">0</definedName>
    <definedName name="REPORTRESE_BP0">0</definedName>
    <definedName name="REPORTRESE_BudRet">0</definedName>
    <definedName name="REPORTRESE_BudRet_1">0</definedName>
    <definedName name="REPORTRESE_CA2">0</definedName>
    <definedName name="REPORTRESE_CAP">0</definedName>
    <definedName name="REPORTRESE_CNR1">0</definedName>
    <definedName name="REPORTRESE_Dm1">0</definedName>
    <definedName name="REPORTRESR_BE1">0</definedName>
    <definedName name="REPORTRESR_BP0">0</definedName>
    <definedName name="REPORTRESR_CA2">0</definedName>
    <definedName name="RERECETTES_budget_executoire_0_GLOBAL">0</definedName>
    <definedName name="RERECETTES_ca_propose_0_GLOBAL">0</definedName>
    <definedName name="RES">0</definedName>
    <definedName name="RESDEF_ca_propose_0_DÉPENDANCE">0</definedName>
    <definedName name="RESDEF_ca_propose_0_GLOBAL">0</definedName>
    <definedName name="RESDEF_ca_propose_0_HÉBERGEMENT">0</definedName>
    <definedName name="RESDEF_ca_propose_0_SOINS">0</definedName>
    <definedName name="RESDEF_ca_retenu_0_DÉPENDANCE">0</definedName>
    <definedName name="RESDEF_ca_retenu_0_GLOBAL">0</definedName>
    <definedName name="RESDEF_ca_retenu_0_HÉBERGEMENT">0</definedName>
    <definedName name="RESDEF_ca_retenu_0_SOINS">0</definedName>
    <definedName name="ResDefBEXN0">0</definedName>
    <definedName name="ResDefBEXN1">0</definedName>
    <definedName name="ResDefBPPN0">0</definedName>
    <definedName name="ResDefBPPNAD">0</definedName>
    <definedName name="ResDefBPPNAVS">0</definedName>
    <definedName name="ResDefBPPNENC">0</definedName>
    <definedName name="ResDefBPPNTISF">0</definedName>
    <definedName name="ResDefBRN0">0</definedName>
    <definedName name="ResDefCAP">0</definedName>
    <definedName name="ResDefCAP_1">0</definedName>
    <definedName name="ResDefCAP_Dep">0</definedName>
    <definedName name="ResDefCAP_Dep_1">0</definedName>
    <definedName name="ResDefCAP_Heb">0</definedName>
    <definedName name="ResDefCAP_Heb_1">0</definedName>
    <definedName name="ResDefCAP_Soins">0</definedName>
    <definedName name="ResDefCAP_Soins_1">0</definedName>
    <definedName name="ResDefCAR">0</definedName>
    <definedName name="ResDefCAR_1">0</definedName>
    <definedName name="ResDefCAR_Dep">0</definedName>
    <definedName name="ResDefCAR_Dep_1">0</definedName>
    <definedName name="ResDefCAR_Heb">0</definedName>
    <definedName name="ResDefCAR_Heb_1">0</definedName>
    <definedName name="ResDefCAR_Soins">0</definedName>
    <definedName name="ResDefCAR_Soins_1">0</definedName>
    <definedName name="ResDefCARN2">0</definedName>
    <definedName name="ResDefMSNN0">0</definedName>
    <definedName name="RESREPRISBEXN0">0</definedName>
    <definedName name="RESREPRISBEXN1">0</definedName>
    <definedName name="RESREPRISBPPN0">0</definedName>
    <definedName name="RESREPRISBRN0">0</definedName>
    <definedName name="RESREPRISCARN2">0</definedName>
    <definedName name="RESREPRISMSNN0">0</definedName>
    <definedName name="RESSimNP1">0</definedName>
    <definedName name="RESSimNP2">0</definedName>
    <definedName name="RESSimNP3">0</definedName>
    <definedName name="RESSimNP4">0</definedName>
    <definedName name="RESSimNP5">0</definedName>
    <definedName name="RESSR10BudRet">0</definedName>
    <definedName name="RESSR10CAP">0</definedName>
    <definedName name="RESSR13BudRet">0</definedName>
    <definedName name="RESSR13CAP">0</definedName>
    <definedName name="RESSR14BudRet">0</definedName>
    <definedName name="RESSR14CAP">0</definedName>
    <definedName name="RESSR15BudRet">0</definedName>
    <definedName name="RESSR15CAP">0</definedName>
    <definedName name="RESSR16BudRet">0</definedName>
    <definedName name="RESSR16CAP">0</definedName>
    <definedName name="RESSR17BudRet">0</definedName>
    <definedName name="RESSR17CAP">0</definedName>
    <definedName name="RESSR18BudRet">0</definedName>
    <definedName name="RESSR18CAP">0</definedName>
    <definedName name="RESSR20BudRet">0</definedName>
    <definedName name="RESSR20CAP">0</definedName>
    <definedName name="RESSR21BudRet">0</definedName>
    <definedName name="RESSR21CAP">0</definedName>
    <definedName name="RESSR22BudRet">0</definedName>
    <definedName name="RESSR22CAP">0</definedName>
    <definedName name="RESSR23BudRet">0</definedName>
    <definedName name="RESSR23CAP">0</definedName>
    <definedName name="RESSR24BudRet">0</definedName>
    <definedName name="RESSR24CAP">0</definedName>
    <definedName name="RESSR26BudRet">0</definedName>
    <definedName name="RESSR26CAP">0</definedName>
    <definedName name="RESSR27BudRet">0</definedName>
    <definedName name="RESSR27CAP">0</definedName>
    <definedName name="RESSR28BudRet">0</definedName>
    <definedName name="RESSR28CAP">0</definedName>
    <definedName name="RESSR29BudRet">0</definedName>
    <definedName name="RESSR29CAP">0</definedName>
    <definedName name="RESSR39BudRet">0</definedName>
    <definedName name="RESSR39CAP">0</definedName>
    <definedName name="RESSR48BudRet">0</definedName>
    <definedName name="RESSR48CAP">0</definedName>
    <definedName name="RESSR49BudRet">0</definedName>
    <definedName name="RESSR49CAP">0</definedName>
    <definedName name="RESSR59BudRet">0</definedName>
    <definedName name="RESSR59CAP">0</definedName>
    <definedName name="resultatcomptablepropose">0</definedName>
    <definedName name="resultatcomptableretenu">0</definedName>
    <definedName name="resultatincorporablepropose">0</definedName>
    <definedName name="resultatincorporableretenu">0</definedName>
    <definedName name="RINVRESCR_BE1">0</definedName>
    <definedName name="RINVRESCR_BP0">0</definedName>
    <definedName name="RINVRESCR_BR">0</definedName>
    <definedName name="RINVRESCR_CA2">0</definedName>
    <definedName name="RINVRESCR_CAP">0</definedName>
    <definedName name="RINVRESCR_CNR1">0</definedName>
    <definedName name="RINVRESCR_DM1">0</definedName>
    <definedName name="RINVRESEXE_BE1">0</definedName>
    <definedName name="RINVRESEXE_BP0">0</definedName>
    <definedName name="RINVRESEXE_CA2">0</definedName>
    <definedName name="RT_CAproposé">0</definedName>
    <definedName name="RT_CAproposé_Dép">0</definedName>
    <definedName name="RT_CAproposé_Héb">0</definedName>
    <definedName name="RT_CAproposé_Soins">0</definedName>
    <definedName name="RT_CAretenu">0</definedName>
    <definedName name="RT_CAretenu_Dép">0</definedName>
    <definedName name="RT_CAretenu_Héb">0</definedName>
    <definedName name="RT_CAretenu_Soins">0</definedName>
    <definedName name="RTAUTDROIT_Capropose">0</definedName>
    <definedName name="RTAUTDROIT_Caretenu">0</definedName>
    <definedName name="RTCONGPAY_Caretenu">0</definedName>
    <definedName name="RTDOT1161_Capropose">0</definedName>
    <definedName name="RTDOT1161_Caretenu">0</definedName>
    <definedName name="Sect_DateHabilitation">" "</definedName>
    <definedName name="Sect_NomSection">" "</definedName>
    <definedName name="SemiInt">0</definedName>
    <definedName name="SemiIntCARN2">0</definedName>
    <definedName name="SEMIINTCAT_budget_propose_0_GLOBAL">0</definedName>
    <definedName name="SEMIINTCAT_budget_retenu_0_GLOBAL">0</definedName>
    <definedName name="SEMIINTCAT_ca_propose_0_GLOBAL">0</definedName>
    <definedName name="SemiIntDgN">0</definedName>
    <definedName name="SEMIINTFOY_budget_propose_0_GLOBAL">0</definedName>
    <definedName name="SEMIINTFOY_budget_retenu_0_GLOBAL">0</definedName>
    <definedName name="SEMIINTFOY_ca_propose_0_GLOBAL">0</definedName>
    <definedName name="SEMIINTMAS_budget_propose_0_GLOBAL">0</definedName>
    <definedName name="SEMIINTMAS_budget_retenu_0_GLOBAL">0</definedName>
    <definedName name="SEMIINTMAS_ca_propose_0_GLOBAL">0</definedName>
    <definedName name="SOLDERES_PROPOSE">0</definedName>
    <definedName name="SOLDERES_PROPOSE_1">0</definedName>
    <definedName name="SOLDERES_RETENU">0</definedName>
    <definedName name="SOLDERES_RETENU_1">0</definedName>
    <definedName name="SOLDERESCAP_Dep">0</definedName>
    <definedName name="SOLDERESCAP_Heb">0</definedName>
    <definedName name="SOLDERESCAP_Soins">0</definedName>
    <definedName name="SOLDERESCAR_Dep">0</definedName>
    <definedName name="SOLDERESCAR_Heb">0</definedName>
    <definedName name="SOLDERESCAR_Soins">0</definedName>
    <definedName name="Subven_01">0</definedName>
    <definedName name="Subven_02">0</definedName>
    <definedName name="Subven_03">0</definedName>
    <definedName name="Subven_04">0</definedName>
    <definedName name="Subven_05">0</definedName>
    <definedName name="Subven_06">0</definedName>
    <definedName name="Subven_07">0</definedName>
    <definedName name="Subven_08">0</definedName>
    <definedName name="Subven_09">0</definedName>
    <definedName name="Subven_10">0</definedName>
    <definedName name="Subven_11">0</definedName>
    <definedName name="Subven_12">0</definedName>
    <definedName name="Subven_13">0</definedName>
    <definedName name="Subven_14">0</definedName>
    <definedName name="Subven_15">0</definedName>
    <definedName name="Subven_16">0</definedName>
    <definedName name="Subven_17">0</definedName>
    <definedName name="Subven_18">0</definedName>
    <definedName name="Subven_19">0</definedName>
    <definedName name="Subven_20">0</definedName>
    <definedName name="Subven_BudgetRet">0</definedName>
    <definedName name="Subven_CAP">0</definedName>
    <definedName name="TEST2">0</definedName>
    <definedName name="testRESDEFCAP">0</definedName>
    <definedName name="TITRECAT1" localSheetId="17">#REF!</definedName>
    <definedName name="TITRECAT1" localSheetId="18">#REF!</definedName>
    <definedName name="TITRECAT1" localSheetId="9">#REF!</definedName>
    <definedName name="TITRECAT1">#REF!</definedName>
    <definedName name="TITRECAT2" localSheetId="17">#REF!</definedName>
    <definedName name="TITRECAT2" localSheetId="18">#REF!</definedName>
    <definedName name="TITRECAT2" localSheetId="9">#REF!</definedName>
    <definedName name="TITRECAT2">#REF!</definedName>
    <definedName name="TITRECAT3" localSheetId="17">#REF!</definedName>
    <definedName name="TITRECAT3" localSheetId="18">#REF!</definedName>
    <definedName name="TITRECAT3" localSheetId="9">#REF!</definedName>
    <definedName name="TITRECAT3">#REF!</definedName>
    <definedName name="TITRECAT4" localSheetId="17">#REF!</definedName>
    <definedName name="TITRECAT4" localSheetId="18">#REF!</definedName>
    <definedName name="TITRECAT4" localSheetId="9">#REF!</definedName>
    <definedName name="TITRECAT4">#REF!</definedName>
    <definedName name="TOTAAUTRE1_budget_propose_0_GLOBAL">0</definedName>
    <definedName name="TOTAAUTRE1_budget_retenu_0_GLOBAL">0</definedName>
    <definedName name="TOTAAUTRE1_ca_propose_0_GLOBAL">0</definedName>
    <definedName name="TOTAAUTRE2_budget_propose_0_GLOBAL">0</definedName>
    <definedName name="TOTAAUTRE2_budget_retenu_0_GLOBAL">0</definedName>
    <definedName name="TOTAAUTRE2_ca_propose_0_GLOBAL">0</definedName>
    <definedName name="TOTAAUTRE3_budget_propose_0_GLOBAL">0</definedName>
    <definedName name="TOTAAUTRE3_budget_retenu_0_GLOBAL">0</definedName>
    <definedName name="TOTAAUTRE3_ca_propose_0_GLOBAL">0</definedName>
    <definedName name="totalchargesnproposé">0</definedName>
    <definedName name="totalchargesnretenu">0</definedName>
    <definedName name="totalproduitsnpropose">0</definedName>
    <definedName name="totalproduitsnretenu">0</definedName>
    <definedName name="TOTCAT_budget_propose_0_GLOBAL">0</definedName>
    <definedName name="TOTCAT_budget_retenu_0_GLOBAL">0</definedName>
    <definedName name="TOTCAT_ca_propose_0_GLOBAL">0</definedName>
    <definedName name="TOTCATMASFOY_budget_propose_0_GLOBAL">0</definedName>
    <definedName name="TOTCATMASFOY_budget_retenu_0_GLOBAL">0</definedName>
    <definedName name="TOTCATMASFOY_ca_propose_0_GLOBAL">0</definedName>
    <definedName name="TOTCHAGEN_budget_executoire_0_GLOBAL">0</definedName>
    <definedName name="TOTCHAGEN_ca_propose_0_GLOBAL">0</definedName>
    <definedName name="TOTCPTESE10_Budgetret">0</definedName>
    <definedName name="TOTCPTESE10_CNR1">0</definedName>
    <definedName name="TOTCPTESE10_DM1">0</definedName>
    <definedName name="TOTCPTESE10_Mandats_émis">0</definedName>
    <definedName name="TOTCPTESE10_Mandats_en_annul.">0</definedName>
    <definedName name="TOTCPTESE13_Budgetret">0</definedName>
    <definedName name="TOTCPTESE13_CNR1">0</definedName>
    <definedName name="TOTCPTESE13_DM1">0</definedName>
    <definedName name="TOTCPTESE13_Mandats_émis">0</definedName>
    <definedName name="TOTCPTESE13_Mandats_en_annul.">0</definedName>
    <definedName name="TOTCPTESE14_Budgetret">0</definedName>
    <definedName name="TOTCPTESE14_CNR1">0</definedName>
    <definedName name="TOTCPTESE14_DM1">0</definedName>
    <definedName name="TOTCPTESE14_Mandats_émis">0</definedName>
    <definedName name="TOTCPTESE14_Mandats_en_annul.">0</definedName>
    <definedName name="TOTCPTESE15_Budgetret">0</definedName>
    <definedName name="TOTCPTESE15_CNR1">0</definedName>
    <definedName name="TOTCPTESE15_DM1">0</definedName>
    <definedName name="TOTCPTESE15_Mandats_émis">0</definedName>
    <definedName name="TOTCPTESE15_Mandats_en_annul.">0</definedName>
    <definedName name="TOTCPTESE16_Budgetret">0</definedName>
    <definedName name="TOTCPTESE16_CNR1">0</definedName>
    <definedName name="TOTCPTESE16_DM1">0</definedName>
    <definedName name="TOTCPTESE16_Mandats_émis">0</definedName>
    <definedName name="TOTCPTESE16_Mandats_en_annul.">0</definedName>
    <definedName name="TOTCPTESE20_Budgetret">0</definedName>
    <definedName name="TOTCPTESE20_CNR1">0</definedName>
    <definedName name="TOTCPTESE20_DM1">0</definedName>
    <definedName name="TOTCPTESE20_Mandats_émis">0</definedName>
    <definedName name="TOTCPTESE20_Mandats_en_annul.">0</definedName>
    <definedName name="TOTCPTESE21_Budgetret">0</definedName>
    <definedName name="TOTCPTESE21_CNR1">0</definedName>
    <definedName name="TOTCPTESE21_DM1">0</definedName>
    <definedName name="TOTCPTESE21_Mandats_émis">0</definedName>
    <definedName name="TOTCPTESE21_Mandats_en_annul.">0</definedName>
    <definedName name="TOTCPTESE22_Budgetret">0</definedName>
    <definedName name="TOTCPTESE22_CNR1">0</definedName>
    <definedName name="TOTCPTESE22_DM1">0</definedName>
    <definedName name="TOTCPTESE22_Mandats_émis">0</definedName>
    <definedName name="TOTCPTESE22_Mandats_en_annul.">0</definedName>
    <definedName name="TOTCPTESE23_Budgetret">0</definedName>
    <definedName name="TOTCPTESE23_CNR1">0</definedName>
    <definedName name="TOTCPTESE23_DM1">0</definedName>
    <definedName name="TOTCPTESE23_Mandats_émis">0</definedName>
    <definedName name="TOTCPTESE23_Mandats_en_annul.">0</definedName>
    <definedName name="TOTCPTESE24_Budgetret">0</definedName>
    <definedName name="TOTCPTESE24_CNR1">0</definedName>
    <definedName name="TOTCPTESE24_DM1">0</definedName>
    <definedName name="TOTCPTESE24_Mandats_émis">0</definedName>
    <definedName name="TOTCPTESE24_Mandats_en_annul.">0</definedName>
    <definedName name="TOTCPTESE26_Budgetret">0</definedName>
    <definedName name="TOTCPTESE26_CNR1">0</definedName>
    <definedName name="TOTCPTESE26_DM1">0</definedName>
    <definedName name="TOTCPTESE26_Mandats_émis">0</definedName>
    <definedName name="TOTCPTESE26_Mandats_en_annul.">0</definedName>
    <definedName name="TOTCPTESE27_Budgetret">0</definedName>
    <definedName name="TOTCPTESE27_CNR1">0</definedName>
    <definedName name="TOTCPTESE27_DM1">0</definedName>
    <definedName name="TOTCPTESE27_Mandats_émis">0</definedName>
    <definedName name="TOTCPTESE27_Mandats_en_annul.">0</definedName>
    <definedName name="TOTCPTESE28_Budgetret">0</definedName>
    <definedName name="TOTCPTESE28_CNR1">0</definedName>
    <definedName name="TOTCPTESE28_DM1">0</definedName>
    <definedName name="TOTCPTESE28_Mandats_émis">0</definedName>
    <definedName name="TOTCPTESE28_Mandats_en_annul.">0</definedName>
    <definedName name="TOTCPTESE29_Budgetret">0</definedName>
    <definedName name="TOTCPTESE29_CNR1">0</definedName>
    <definedName name="TOTCPTESE29_DM1">0</definedName>
    <definedName name="TOTCPTESE29_Mandats_émis">0</definedName>
    <definedName name="TOTCPTESE29_Mandats_en_annul.">0</definedName>
    <definedName name="TOTCPTESE39_Budgetret">0</definedName>
    <definedName name="TOTCPTESE39_CNR1">0</definedName>
    <definedName name="TOTCPTESE39_DM1">0</definedName>
    <definedName name="TOTCPTESE39_Mandats_émis">0</definedName>
    <definedName name="TOTCPTESE39_Mandats_en_annul.">0</definedName>
    <definedName name="TOTCPTESR10_Budgetret">0</definedName>
    <definedName name="TOTCPTESR10_CNR1_">0</definedName>
    <definedName name="TOTCPTESR10_Dm1_">0</definedName>
    <definedName name="TOTCPTESR10_Mandatsém">0</definedName>
    <definedName name="TOTCPTESR10_Mandatsen">0</definedName>
    <definedName name="TOTCPTESR13_Budgetret">0</definedName>
    <definedName name="TOTCPTESR13_CNR1">0</definedName>
    <definedName name="TOTCPTESR13_Dm1">0</definedName>
    <definedName name="TOTCPTESR13_Mandatsém">0</definedName>
    <definedName name="TOTCPTESR13_Mandatsen">0</definedName>
    <definedName name="TOTCPTESR14_Budgetret">0</definedName>
    <definedName name="TOTCPTESR14_CNR1">0</definedName>
    <definedName name="TOTCPTESR14_Dm1">0</definedName>
    <definedName name="TOTCPTESR14_Mandatsém">0</definedName>
    <definedName name="TOTCPTESR14_Mandatsen">0</definedName>
    <definedName name="TOTCPTESR15_Budgetret">0</definedName>
    <definedName name="TOTCPTESR15_CNR1">0</definedName>
    <definedName name="TOTCPTESR15_Dm1">0</definedName>
    <definedName name="TOTCPTESR15_Mandatsém">0</definedName>
    <definedName name="TOTCPTESR15_Mandatsen">0</definedName>
    <definedName name="TOTCPTESR16_Budgetret">0</definedName>
    <definedName name="TOTCPTESR16_CNR1">0</definedName>
    <definedName name="TOTCPTESR16_Dm1">0</definedName>
    <definedName name="TOTCPTESR16_Mandatsém">0</definedName>
    <definedName name="TOTCPTESR16_Mandatsen">0</definedName>
    <definedName name="TOTCPTESR20_Budgetret">0</definedName>
    <definedName name="TOTCPTESR20_CNR1">0</definedName>
    <definedName name="TOTCPTESR20_Dm1">0</definedName>
    <definedName name="TOTCPTESR20_Mandatsém">0</definedName>
    <definedName name="TOTCPTESR20_Mandatsen">0</definedName>
    <definedName name="TOTCPTESR21_Budgetret">0</definedName>
    <definedName name="TOTCPTESR21_CNR1">0</definedName>
    <definedName name="TOTCPTESR21_Dm1">0</definedName>
    <definedName name="TOTCPTESR21_Mandatsém">0</definedName>
    <definedName name="TOTCPTESR21_Mandatsen">0</definedName>
    <definedName name="TOTCPTESR22_Budgetret">0</definedName>
    <definedName name="TOTCPTESR22_CNR1">0</definedName>
    <definedName name="TOTCPTESR22_Dm1">0</definedName>
    <definedName name="TOTCPTESR22_Mandatsém">0</definedName>
    <definedName name="TOTCPTESR22_Mandatsen">0</definedName>
    <definedName name="TOTCPTESR23_Budgetret">0</definedName>
    <definedName name="TOTCPTESR23_CNR1">0</definedName>
    <definedName name="TOTCPTESR23_Dm1">0</definedName>
    <definedName name="TOTCPTESR23_Mandatsém">0</definedName>
    <definedName name="TOTCPTESR23_Mandatsen">0</definedName>
    <definedName name="TOTCPTESR24_Budgetret">0</definedName>
    <definedName name="TOTCPTESR24_CNR1">0</definedName>
    <definedName name="TOTCPTESR24_Dm1">0</definedName>
    <definedName name="TOTCPTESR24_Mandatsém">0</definedName>
    <definedName name="TOTCPTESR24_Mandatsen">0</definedName>
    <definedName name="TOTCPTESR26_Budgetret">0</definedName>
    <definedName name="TOTCPTESR26_CNR1">0</definedName>
    <definedName name="TOTCPTESR26_Dm1">0</definedName>
    <definedName name="TOTCPTESR26_Mandatsém">0</definedName>
    <definedName name="TOTCPTESR26_Mandatsen">0</definedName>
    <definedName name="TOTCPTESR27_Budgetret">0</definedName>
    <definedName name="TOTCPTESR27_CNR1">0</definedName>
    <definedName name="TOTCPTESR27_Dm1">0</definedName>
    <definedName name="TOTCPTESR27_Mandatsém">0</definedName>
    <definedName name="TOTCPTESR27_Mandatsen">0</definedName>
    <definedName name="TOTCPTESR28_Budgetret">0</definedName>
    <definedName name="TOTCPTESR28_CNR1">0</definedName>
    <definedName name="TOTCPTESR28_Dm1">0</definedName>
    <definedName name="TOTCPTESR28_Mandatsém">0</definedName>
    <definedName name="TOTCPTESR28_Mandatsen">0</definedName>
    <definedName name="TOTCPTESR29_Budgetret">0</definedName>
    <definedName name="TOTCPTESR29_CNR1">0</definedName>
    <definedName name="TOTCPTESR29_Dm1">0</definedName>
    <definedName name="TOTCPTESR29_Mandatsém">0</definedName>
    <definedName name="TOTCPTESR29_Mandatsen">0</definedName>
    <definedName name="TOTEXTERNAT_budget_propose_0_GLOBAL">0</definedName>
    <definedName name="TOTEXTERNAT_budget_retenu_0_GLOBAL">0</definedName>
    <definedName name="TOTEXTERNAT_ca_propose_0_GLOBAL">0</definedName>
    <definedName name="TOTFOY_budget_propose_0_GLOBAL">0</definedName>
    <definedName name="TOTFOY_budget_retenu_0_GLOBAL">0</definedName>
    <definedName name="TOTFOY_ca_propose_0_GLOBAL">0</definedName>
    <definedName name="TOTGENEMPL_BE1">0</definedName>
    <definedName name="TOTGENEMPL_BP0">0</definedName>
    <definedName name="TOTGENEMPL_Budgetret">0</definedName>
    <definedName name="TOTGENEMPL_Budgetret_1">0</definedName>
    <definedName name="TOTGENEMPL_CA2">0</definedName>
    <definedName name="TOTGENEMPL_CAproposé_">0</definedName>
    <definedName name="TOTGENEMPL_CNR1">0</definedName>
    <definedName name="TOTGENEMPL_CNR1_">0</definedName>
    <definedName name="TOTGENEMPL_Dm1">0</definedName>
    <definedName name="TOTGENEMPL_Dm1_">0</definedName>
    <definedName name="TOTGENEMPL_Mandatsém">0</definedName>
    <definedName name="TOTGENEMPL_Mandatsen">0</definedName>
    <definedName name="TOTGENGROUPED_CAproposé">0</definedName>
    <definedName name="TOTGENGROUPED_CAproposé_1">0</definedName>
    <definedName name="TOTGENGROUPED_CAretenu">0</definedName>
    <definedName name="TOTGENGROUPED_CAretenu_1">0</definedName>
    <definedName name="TOTGENGROUPED_CAretenumoins1">0</definedName>
    <definedName name="TOTGENGROUPED_CNR1">0</definedName>
    <definedName name="TOTGENGROUPED_Dm1">0</definedName>
    <definedName name="TOTGENGROUPEDBEXN0">0</definedName>
    <definedName name="TOTGENGROUPEDBEXN1">0</definedName>
    <definedName name="TOTGENGROUPEDBPN">0</definedName>
    <definedName name="TOTGENGROUPEDBPPN0">0</definedName>
    <definedName name="TOTGENGROUPEDBPPNAD">0</definedName>
    <definedName name="TOTGENGROUPEDBPPNAVS">0</definedName>
    <definedName name="TOTGENGROUPEDBPPNENC">0</definedName>
    <definedName name="TOTGENGROUPEDBPPNTISF">0</definedName>
    <definedName name="TOTGENGROUPEDBRN">0</definedName>
    <definedName name="TOTGENGROUPEDBRN0">0</definedName>
    <definedName name="TOTGENGROUPEDCARN2">0</definedName>
    <definedName name="TOTGENGROUPEDMSNN0">0</definedName>
    <definedName name="TOTGENGROUPEP_CAproposé">0</definedName>
    <definedName name="TOTGENGROUPEP_CAretenu">0</definedName>
    <definedName name="TOTGENGROUPEPBEN">0</definedName>
    <definedName name="TOTGENGROUPEPBEXN0">0</definedName>
    <definedName name="TOTGENGROUPEPBEXN1">0</definedName>
    <definedName name="TOTGENGROUPEPBPPN0">0</definedName>
    <definedName name="TOTGENGROUPEPBPPNAD">0</definedName>
    <definedName name="TOTGENGROUPEPBPPNAVS">0</definedName>
    <definedName name="TOTGENGROUPEPBPPNENC">0</definedName>
    <definedName name="TOTGENGROUPEPBPPNTISF">0</definedName>
    <definedName name="TOTGENGROUPEPBRN0">0</definedName>
    <definedName name="TOTGENGROUPEPCAproposéN">0</definedName>
    <definedName name="TOTGENGROUPEPCAretenuN">0</definedName>
    <definedName name="TOTGENGROUPEPCAretenuNmoins1">0</definedName>
    <definedName name="TOTGENGROUPEPCARN2">0</definedName>
    <definedName name="TOTGENGROUPEPCNR1">0</definedName>
    <definedName name="TOTGENGROUPEPDm1">0</definedName>
    <definedName name="TOTGENGROUPEPMSNN0">0</definedName>
    <definedName name="TOTGENRESS_BE1">0</definedName>
    <definedName name="TOTGENRESS_BP0">0</definedName>
    <definedName name="TOTGENRESS_Budgetret">0</definedName>
    <definedName name="TOTGENRESS_Budgetret_1">0</definedName>
    <definedName name="TOTGENRESS_CA2">0</definedName>
    <definedName name="TOTGENRESS_CAproposé">0</definedName>
    <definedName name="TOTGENRESS_CNR1">0</definedName>
    <definedName name="TOTGENRESS_CNR1_1">0</definedName>
    <definedName name="TOTGENRESS_Dm1">0</definedName>
    <definedName name="TOTGENRESS_Dm1_1">0</definedName>
    <definedName name="TOTGENRESS_Mandatsém">0</definedName>
    <definedName name="TOTGENRESS_Mandatsen">0</definedName>
    <definedName name="TOTGP1BEN">0</definedName>
    <definedName name="TOTGP1CAP">0</definedName>
    <definedName name="TOTGP1CARN">0</definedName>
    <definedName name="TOTGP1CARNmoins1">0</definedName>
    <definedName name="TOTGP1CNR1">0</definedName>
    <definedName name="TOTGP1DM1">0</definedName>
    <definedName name="TOTGP1PROBEN">0</definedName>
    <definedName name="TOTGP1PROCANmoins1">0</definedName>
    <definedName name="TOTGP1PROCAproposéN">0</definedName>
    <definedName name="TOTGP1PROCNR1">0</definedName>
    <definedName name="TOTGP1PRODm1">0</definedName>
    <definedName name="TOTGP2BEN">0</definedName>
    <definedName name="TOTGP2CAPN">0</definedName>
    <definedName name="TOTGP2CARN">0</definedName>
    <definedName name="TOTGP2CARNmoins1">0</definedName>
    <definedName name="TOTGP2CNR1">0</definedName>
    <definedName name="TOTGP2DM1">0</definedName>
    <definedName name="TOTGP3BEN">0</definedName>
    <definedName name="TOTGP3CAP">0</definedName>
    <definedName name="TOTGP3CARN">0</definedName>
    <definedName name="TOTGP3CARNmoins1">0</definedName>
    <definedName name="TOTGP3CNR1">0</definedName>
    <definedName name="TOTGP3DM1">0</definedName>
    <definedName name="TOTGRP1PROCAretenuN">0</definedName>
    <definedName name="TOTGRP2PROBEN">0</definedName>
    <definedName name="TOTGRP2PROCAproposéN">0</definedName>
    <definedName name="TOTGRP2PROCAretenuN">0</definedName>
    <definedName name="TOTGRP2PROCAretenuNmoins1">0</definedName>
    <definedName name="TOTGRP2PROCNR1">0</definedName>
    <definedName name="TOTGRP2PRODM1">0</definedName>
    <definedName name="TOTGRP3PROBEN">0</definedName>
    <definedName name="TOTGRP3PROCAproposéN">0</definedName>
    <definedName name="TOTGRP3PROCAretenuN">0</definedName>
    <definedName name="TOTGRP3PROCAretenuNmoins1">0</definedName>
    <definedName name="TOTGRP3PROCNR1">0</definedName>
    <definedName name="TOTGRP3PRODm1">0</definedName>
    <definedName name="TOTINTERNAT_budget_propose_0_GLOBAL">0</definedName>
    <definedName name="TOTINTERNAT_budget_retenu_0_GLOBAL">0</definedName>
    <definedName name="TOTINTERNAT_ca_propose_0_GLOBAL">0</definedName>
    <definedName name="TOTMAS_budget_propose_0_GLOBAL">0</definedName>
    <definedName name="TOTMAS_budget_retenu_0_GLOBAL">0</definedName>
    <definedName name="TOTMAS_ca_propose_0_GLOBAL">0</definedName>
    <definedName name="TOTNBJOURS_budget_retenu_0_GLOBAL">0</definedName>
    <definedName name="TOTNBJOURS_ca_propose_0_GLOBAL">0</definedName>
    <definedName name="TotNbJoursBPPN">0</definedName>
    <definedName name="TotNbJoursbprn">0</definedName>
    <definedName name="TotNbJoursBPRN1">0</definedName>
    <definedName name="TotNbJoursCARN2">0</definedName>
    <definedName name="TotNbJoursCARN3">0</definedName>
    <definedName name="TotNbJoursCARN4">0</definedName>
    <definedName name="TotNbJoursDgBPN">0</definedName>
    <definedName name="TotNbJoursDgBPRN">0</definedName>
    <definedName name="TotNbJoursN">0</definedName>
    <definedName name="TotNbJoursOuvN">0</definedName>
    <definedName name="TOTNBJOURSTEO_budget_retenu_0_GLOBAL">0</definedName>
    <definedName name="TOTNBJOURSTEO_ca_propose_0_GLOBAL">0</definedName>
    <definedName name="TotNbJoursThN">0</definedName>
    <definedName name="TotNbPlacesCARN2">0</definedName>
    <definedName name="TotNbPlacesDgN">0</definedName>
    <definedName name="TotNbPlacesN">0</definedName>
    <definedName name="TotNetGroupe2_Budgetexé">0</definedName>
    <definedName name="TotNetGroupe2_CAproposé">0</definedName>
    <definedName name="TotNetGroupe2_CAretenu_moins1">0</definedName>
    <definedName name="TOTPROGEN_budget_executoire_0_GLOBAL">0</definedName>
    <definedName name="TOTPROGEN_ca_propose_0_GLOBAL">0</definedName>
    <definedName name="TotSalPts_Budgetexé">0</definedName>
    <definedName name="TotSalPts_CAproposé">0</definedName>
    <definedName name="TotSalPts_CAretenu_moins1">0</definedName>
    <definedName name="TOTSEMIINT_budget_propose_0_GLOBAL">0</definedName>
    <definedName name="TOTSEMIINT_budget_retenu_0_GLOBAL">0</definedName>
    <definedName name="TOTSEMIINT_ca_propose_0_GLOBAL">0</definedName>
    <definedName name="TxChargSoc_Budgetexé">0</definedName>
    <definedName name="TxChargSoc_CAproposé">0</definedName>
    <definedName name="TxChargSoc_CAretenu_moins1">0</definedName>
    <definedName name="TXOCCAAUTRE1_budget_retenu_0_GLOBAL">0</definedName>
    <definedName name="TxOccAAutre1BPPN">0</definedName>
    <definedName name="TxOccAAutre1bprn">0</definedName>
    <definedName name="TXOCCAAUTRE2_budget_retenu_0_GLOBAL">0</definedName>
    <definedName name="TxOccAAutre2BPPN">0</definedName>
    <definedName name="TxOccAAutre2bprn">0</definedName>
    <definedName name="TXOCCAAUTRE3_budget_retenu_0_GLOBAL">0</definedName>
    <definedName name="TxOccAAutre3BPPN">0</definedName>
    <definedName name="TxOccAAutre3bprn">0</definedName>
    <definedName name="TxOccBPPN">0</definedName>
    <definedName name="TxOccbprn">0</definedName>
    <definedName name="TXOCCEXTERNAT_budget_retenu_0_GLOBAL">0</definedName>
    <definedName name="TxOccExternatBPPN">0</definedName>
    <definedName name="TxOccExternatbprn">0</definedName>
    <definedName name="TXOCCINTERNAT_budget_retenu_0_GLOBAL">0</definedName>
    <definedName name="TxOccInternatBPPN">0</definedName>
    <definedName name="TxOccInternatbprn">0</definedName>
    <definedName name="TXOCCSEMIINT_budget_retenu_0_GLOBAL">0</definedName>
    <definedName name="TxOccSemiIntBPPN">0</definedName>
    <definedName name="TxOccSemiIntbprn">0</definedName>
    <definedName name="Typeamort_01">" "</definedName>
    <definedName name="Typeamort_02">" "</definedName>
    <definedName name="Typeamort_03">" "</definedName>
    <definedName name="Typeamort_04">" "</definedName>
    <definedName name="Typeamort_05">" "</definedName>
    <definedName name="Typeamort_06">" "</definedName>
    <definedName name="Typeamort_07">" "</definedName>
    <definedName name="Typeamort_08">" "</definedName>
    <definedName name="Typeamort_09">" "</definedName>
    <definedName name="Typeamort_10">" "</definedName>
    <definedName name="Typeamort_11">" "</definedName>
    <definedName name="Typeamort_12">" "</definedName>
    <definedName name="Typeamort_13">" "</definedName>
    <definedName name="Typeamort_14">" "</definedName>
    <definedName name="Typeamort_15">" "</definedName>
    <definedName name="Typeamort_16">" "</definedName>
    <definedName name="Typeamort_17">" "</definedName>
    <definedName name="Typeamort_18">" "</definedName>
    <definedName name="Typeamort_19">" "</definedName>
    <definedName name="Typeamort_20">" "</definedName>
    <definedName name="TypeBudgetaireCourant">"Budget modifié"</definedName>
    <definedName name="TypeBudgetaireCourant_50">" "</definedName>
    <definedName name="V2801AmortCumuleN_1">0</definedName>
    <definedName name="V2801Annuite">0</definedName>
    <definedName name="V2801AnnuiteCumulN">0</definedName>
    <definedName name="V2801Diminution">0</definedName>
    <definedName name="V2803AmortCumuleN_1">0</definedName>
    <definedName name="V2803Annuite">0</definedName>
    <definedName name="V2803AnnuiteCumulN">0</definedName>
    <definedName name="V2803Diminution">0</definedName>
    <definedName name="V2805AmortCumuleN_1">0</definedName>
    <definedName name="V2805Annuite">0</definedName>
    <definedName name="V2805AnnuiteCumulN">0</definedName>
    <definedName name="V2805Diminution">0</definedName>
    <definedName name="V2806AmortCumuleN_1">0</definedName>
    <definedName name="V2806Annuite">0</definedName>
    <definedName name="V2806AnnuiteCumulN">0</definedName>
    <definedName name="V2806Diminution">0</definedName>
    <definedName name="V2807AmortCumuleN_1">0</definedName>
    <definedName name="V2807Annuite">0</definedName>
    <definedName name="V2807AnnuiteCumulN">0</definedName>
    <definedName name="V2807Diminution">0</definedName>
    <definedName name="V2808AmortCumuleN_1">0</definedName>
    <definedName name="V2808Annuite">0</definedName>
    <definedName name="V2808AnnuiteCumulN">0</definedName>
    <definedName name="V2808Diminution">0</definedName>
    <definedName name="V2811AmortCumuleN_1">0</definedName>
    <definedName name="V2811Annuite">0</definedName>
    <definedName name="V2811AnnuiteCumulN">0</definedName>
    <definedName name="V2811Diminution">0</definedName>
    <definedName name="V2812AmortCumuleN_1">0</definedName>
    <definedName name="V2812Annuite">0</definedName>
    <definedName name="V2812AnnuiteCumulN">0</definedName>
    <definedName name="V2812Diminution">0</definedName>
    <definedName name="V2813AmortCumuleN_1">0</definedName>
    <definedName name="V2813Annuite">0</definedName>
    <definedName name="V2813AnnuiteCumulN">0</definedName>
    <definedName name="V2813Diminution">0</definedName>
    <definedName name="V2814AmortCumuleN_1">0</definedName>
    <definedName name="V2814Annuite">0</definedName>
    <definedName name="V2814AnnuiteCumulN">0</definedName>
    <definedName name="V2814Diminution">0</definedName>
    <definedName name="V2815AmortCumuleN_1">0</definedName>
    <definedName name="V2815AmortCumuleN_1Bur">0</definedName>
    <definedName name="V2815AmortCumuleN_1Info">0</definedName>
    <definedName name="V2815AmortCumuleN_1Trans">0</definedName>
    <definedName name="V2815Annuite">0</definedName>
    <definedName name="V2815AnnuiteBur">0</definedName>
    <definedName name="V2815AnnuiteCumulN">0</definedName>
    <definedName name="V2815AnnuiteInfo">0</definedName>
    <definedName name="V2815AnnuiteTrans">0</definedName>
    <definedName name="V2815Diminution">0</definedName>
    <definedName name="V2815DiminutionBur">0</definedName>
    <definedName name="V2815DiminutionInfo">0</definedName>
    <definedName name="V2815DiminutionTrans">0</definedName>
    <definedName name="V2818AmortCumuleN_1">0</definedName>
    <definedName name="V2818AmortCumuleN_1Bur">0</definedName>
    <definedName name="V2818AmortCumuleN_1Info">0</definedName>
    <definedName name="V2818AmortCumuleN_1Trans">0</definedName>
    <definedName name="V2818Annuite">0</definedName>
    <definedName name="V2818AnnuiteBur">0</definedName>
    <definedName name="V2818AnnuiteCumulN">0</definedName>
    <definedName name="V2818AnnuiteInfo">0</definedName>
    <definedName name="V2818AnnuiteTrans">0</definedName>
    <definedName name="V2818Diminution">0</definedName>
    <definedName name="V2818DiminutionBur">0</definedName>
    <definedName name="V2818DiminutionInfo">0</definedName>
    <definedName name="V2818DiminutionTrans">0</definedName>
    <definedName name="V28AmortCumuleN_1">0</definedName>
    <definedName name="V28Annuite">0</definedName>
    <definedName name="V28AnnuiteCumulN">0</definedName>
    <definedName name="V28Diminution">0</definedName>
    <definedName name="V6x_ca_propose_0_DÉPENDANCE">0</definedName>
    <definedName name="V6x_ca_propose_0_GLOBAL">0</definedName>
    <definedName name="V6x_ca_propose_0_HÉBERGEMENT">0</definedName>
    <definedName name="V6x_ca_propose_0_SOINS">0</definedName>
    <definedName name="V6x_ca_retenu_0_DÉPENDANCE">0</definedName>
    <definedName name="V6x_ca_retenu_0_GLOBAL">0</definedName>
    <definedName name="V6x_ca_retenu_0_HÉBERGEMENT">0</definedName>
    <definedName name="V6x_ca_retenu_0_SOINS">0</definedName>
    <definedName name="V7x_ca_propose_0_DÉPENDANCE">0</definedName>
    <definedName name="V7x_ca_propose_0_GLOBAL">0</definedName>
    <definedName name="V7x_ca_propose_0_HÉBERGEMENT">0</definedName>
    <definedName name="V7x_ca_propose_0_SOINS">0</definedName>
    <definedName name="V7x_ca_retenu_0_DÉPENDANCE">0</definedName>
    <definedName name="V7x_ca_retenu_0_GLOBAL">0</definedName>
    <definedName name="V7x_ca_retenu_0_HÉBERGEMENT">0</definedName>
    <definedName name="V7x_ca_retenu_0_SOINS">0</definedName>
    <definedName name="ValMoyPoint_Budgetexé">0</definedName>
    <definedName name="ValMoyPoint_CAproposé">0</definedName>
    <definedName name="ValMoyPoint_CAretenu_moins1">0</definedName>
    <definedName name="VARBFR">0</definedName>
    <definedName name="VARBFRSimNP1">0</definedName>
    <definedName name="VARBFRSimNP2">0</definedName>
    <definedName name="VARBFRSimNP3">0</definedName>
    <definedName name="VARBFRSimNP4">0</definedName>
    <definedName name="VARBFRSimNP5">0</definedName>
    <definedName name="VARFRE">0</definedName>
    <definedName name="VARFRESimNP1">0</definedName>
    <definedName name="VARFRESimNP2">0</definedName>
    <definedName name="VARFRESimNP3">0</definedName>
    <definedName name="VARFRESimNP4">0</definedName>
    <definedName name="VARFRESimNP5">0</definedName>
    <definedName name="VARFRI">0</definedName>
    <definedName name="VARFRISimNP1">0</definedName>
    <definedName name="VARFRISimNP2">0</definedName>
    <definedName name="VARFRISimNP3">0</definedName>
    <definedName name="VARFRISimNP4">0</definedName>
    <definedName name="VARFRISimNP5">0</definedName>
    <definedName name="Version_mineure">1</definedName>
    <definedName name="VIRCNR70">0</definedName>
    <definedName name="VIRCNR71">0</definedName>
    <definedName name="VIRDM70">0</definedName>
    <definedName name="VIRDM71">0</definedName>
    <definedName name="wrn.Budget." localSheetId="19" hidden="1">{#N/A,#N/A,TRUE,"BCB1";#N/A,#N/A,TRUE,"BCB2";#N/A,#N/A,TRUE,"RECAP";#N/A,#N/A,TRUE,"BCP1-BCP2";#N/A,#N/A,TRUE,"Charges"}</definedName>
    <definedName name="wrn.Budget." localSheetId="20" hidden="1">{#N/A,#N/A,TRUE,"BCB1";#N/A,#N/A,TRUE,"BCB2";#N/A,#N/A,TRUE,"RECAP";#N/A,#N/A,TRUE,"BCP1-BCP2";#N/A,#N/A,TRUE,"Charges"}</definedName>
    <definedName name="wrn.Budget." hidden="1">{#N/A,#N/A,TRUE,"BCB1";#N/A,#N/A,TRUE,"BCB2";#N/A,#N/A,TRUE,"RECAP";#N/A,#N/A,TRUE,"BCP1-BCP2";#N/A,#N/A,TRUE,"Charges"}</definedName>
    <definedName name="wrn.Budget2." hidden="1">{#N/A,#N/A,TRUE,"BCB1";#N/A,#N/A,TRUE,"BCB2";#N/A,#N/A,TRUE,"RECAP";#N/A,#N/A,TRUE,"BCP1-BCP2";#N/A,#N/A,TRUE,"Charges"}</definedName>
    <definedName name="Z_388AB521_2C83_4D8E_8EFA_8ADEA26FEFA3_.wvu.PrintArea" localSheetId="19" hidden="1">'Ann5'!$A$1:$L$92</definedName>
    <definedName name="Z_388AB521_2C83_4D8E_8EFA_8ADEA26FEFA3_.wvu.PrintArea" localSheetId="20" hidden="1">'Ann7'!$A$1:$I$31</definedName>
    <definedName name="_xlnm.Print_Area" localSheetId="12">'AIDE-Durées amortissements'!$A$1:$G$32</definedName>
    <definedName name="_xlnm.Print_Area" localSheetId="10">'AIDE-Fiches indicateurs'!$B$2:$I$702</definedName>
    <definedName name="_xlnm.Print_Area" localSheetId="16">'AIDE-simulation emprunt'!$A$1:$Y$169</definedName>
    <definedName name="_xlnm.Print_Area" localSheetId="17">'Analyse prospective (1)'!$B$1:$Q$115</definedName>
    <definedName name="_xlnm.Print_Area" localSheetId="18">'Analyse prospective (2)'!$A$1:$Q$96</definedName>
    <definedName name="_xlnm.Print_Area" localSheetId="8">'Analyse rétrospective (1)'!$A$1:$M$222</definedName>
    <definedName name="_xlnm.Print_Area" localSheetId="9">'Analyse rétrospective (2)'!$B$1:$M$95</definedName>
    <definedName name="_xlnm.Print_Area" localSheetId="19">'Ann5'!$A$1:$L$52</definedName>
    <definedName name="_xlnm.Print_Area" localSheetId="20">'Ann7'!$A$1:$I$30</definedName>
    <definedName name="_xlnm.Print_Area" localSheetId="22">'BDD REX'!$A$1:$D$17</definedName>
    <definedName name="_xlnm.Print_Area" localSheetId="5">'Bilan financier'!$A$1:$J$92</definedName>
    <definedName name="_xlnm.Print_Area" localSheetId="6">CAF!$A$1:$K$23</definedName>
    <definedName name="_xlnm.Print_Area" localSheetId="14">'Cptes de résultat prévisionnels'!$A$1:$Y$39</definedName>
    <definedName name="_xlnm.Print_Area" localSheetId="2">MENU!$A$1:$M$73</definedName>
    <definedName name="_xlnm.Print_Area" localSheetId="13">'Plan pluriannuel de financement'!$A$1:$T$106</definedName>
    <definedName name="_xlnm.Print_Area" localSheetId="11">PPI!$A$1:$AB$542</definedName>
    <definedName name="_xlnm.Print_Area" localSheetId="21">REX!$A$1:$K$52</definedName>
    <definedName name="_xlnm.Print_Area" localSheetId="7">SIG!$A$1:$M$66</definedName>
    <definedName name="_xlnm.Print_Area" localSheetId="15">'Tableau surcoûts exploitation'!$A$1:$M$44</definedName>
    <definedName name="_xlnm.Print_Area">#REF!</definedName>
  </definedNames>
  <calcPr calcId="162913"/>
</workbook>
</file>

<file path=xl/calcChain.xml><?xml version="1.0" encoding="utf-8"?>
<calcChain xmlns="http://schemas.openxmlformats.org/spreadsheetml/2006/main">
  <c r="C27" i="29" l="1"/>
  <c r="F14" i="43"/>
  <c r="F6" i="43"/>
  <c r="J4" i="43"/>
  <c r="D13" i="29" l="1"/>
  <c r="C13" i="29" l="1"/>
  <c r="D41" i="29" l="1"/>
  <c r="G20" i="14"/>
  <c r="B14" i="43" l="1"/>
  <c r="B4" i="43" l="1"/>
  <c r="M319" i="17"/>
  <c r="O319" i="17" s="1"/>
  <c r="P319" i="17" s="1"/>
  <c r="L319" i="17"/>
  <c r="I319" i="17"/>
  <c r="M318" i="17"/>
  <c r="O318" i="17" s="1"/>
  <c r="P318" i="17" s="1"/>
  <c r="L318" i="17"/>
  <c r="I318" i="17"/>
  <c r="M317" i="17"/>
  <c r="O317" i="17" s="1"/>
  <c r="P317" i="17" s="1"/>
  <c r="L317" i="17"/>
  <c r="I317" i="17"/>
  <c r="M316" i="17"/>
  <c r="O316" i="17" s="1"/>
  <c r="P316" i="17" s="1"/>
  <c r="L316" i="17"/>
  <c r="I316" i="17"/>
  <c r="M315" i="17"/>
  <c r="O315" i="17" s="1"/>
  <c r="P315" i="17" s="1"/>
  <c r="L315" i="17"/>
  <c r="I315" i="17"/>
  <c r="M314" i="17"/>
  <c r="O314" i="17" s="1"/>
  <c r="P314" i="17" s="1"/>
  <c r="L314" i="17"/>
  <c r="I314" i="17"/>
  <c r="M313" i="17"/>
  <c r="O313" i="17" s="1"/>
  <c r="P313" i="17" s="1"/>
  <c r="L313" i="17"/>
  <c r="I313" i="17"/>
  <c r="M312" i="17"/>
  <c r="O312" i="17" s="1"/>
  <c r="P312" i="17" s="1"/>
  <c r="L312" i="17"/>
  <c r="I312" i="17"/>
  <c r="M311" i="17"/>
  <c r="O311" i="17" s="1"/>
  <c r="P311" i="17" s="1"/>
  <c r="L311" i="17"/>
  <c r="I311" i="17"/>
  <c r="M310" i="17"/>
  <c r="O310" i="17" s="1"/>
  <c r="P310" i="17" s="1"/>
  <c r="L310" i="17"/>
  <c r="I310" i="17"/>
  <c r="M309" i="17"/>
  <c r="O309" i="17" s="1"/>
  <c r="P309" i="17" s="1"/>
  <c r="L309" i="17"/>
  <c r="I309" i="17"/>
  <c r="M308" i="17"/>
  <c r="O308" i="17" s="1"/>
  <c r="P308" i="17" s="1"/>
  <c r="L308" i="17"/>
  <c r="I308" i="17"/>
  <c r="M307" i="17"/>
  <c r="O307" i="17" s="1"/>
  <c r="P307" i="17" s="1"/>
  <c r="L307" i="17"/>
  <c r="I307" i="17"/>
  <c r="M152" i="17"/>
  <c r="L152" i="17"/>
  <c r="I152" i="17"/>
  <c r="M151" i="17"/>
  <c r="L151" i="17"/>
  <c r="I151" i="17"/>
  <c r="M150" i="17"/>
  <c r="L150" i="17"/>
  <c r="I150" i="17"/>
  <c r="M149" i="17"/>
  <c r="L149" i="17"/>
  <c r="I149" i="17"/>
  <c r="M148" i="17"/>
  <c r="L148" i="17"/>
  <c r="I148" i="17"/>
  <c r="M147" i="17"/>
  <c r="L147" i="17"/>
  <c r="I147" i="17"/>
  <c r="M146" i="17"/>
  <c r="L146" i="17"/>
  <c r="I146" i="17"/>
  <c r="M145" i="17"/>
  <c r="L145" i="17"/>
  <c r="I145" i="17"/>
  <c r="M144" i="17"/>
  <c r="L144" i="17"/>
  <c r="I144" i="17"/>
  <c r="M143" i="17"/>
  <c r="L143" i="17"/>
  <c r="I143" i="17"/>
  <c r="M142" i="17"/>
  <c r="L142" i="17"/>
  <c r="I142" i="17"/>
  <c r="M141" i="17"/>
  <c r="L141" i="17"/>
  <c r="I141" i="17"/>
  <c r="M140" i="17"/>
  <c r="L140" i="17"/>
  <c r="I140" i="17"/>
  <c r="M139" i="17"/>
  <c r="L139" i="17"/>
  <c r="I139" i="17"/>
  <c r="M138" i="17"/>
  <c r="L138" i="17"/>
  <c r="I138" i="17"/>
  <c r="M137" i="17"/>
  <c r="L137" i="17"/>
  <c r="I137" i="17"/>
  <c r="M136" i="17"/>
  <c r="L136" i="17"/>
  <c r="I136" i="17"/>
  <c r="M135" i="17"/>
  <c r="L135" i="17"/>
  <c r="I135" i="17"/>
  <c r="M134" i="17"/>
  <c r="L134" i="17"/>
  <c r="I134" i="17"/>
  <c r="M133" i="17"/>
  <c r="L133" i="17"/>
  <c r="I133" i="17"/>
  <c r="M132" i="17"/>
  <c r="L132" i="17"/>
  <c r="I132" i="17"/>
  <c r="M131" i="17"/>
  <c r="L131" i="17"/>
  <c r="I131" i="17"/>
  <c r="M130" i="17"/>
  <c r="L130" i="17"/>
  <c r="I130" i="17"/>
  <c r="M129" i="17"/>
  <c r="L129" i="17"/>
  <c r="I129" i="17"/>
  <c r="M128" i="17"/>
  <c r="L128" i="17"/>
  <c r="I128" i="17"/>
  <c r="M127" i="17"/>
  <c r="L127" i="17"/>
  <c r="I127" i="17"/>
  <c r="M126" i="17"/>
  <c r="L126" i="17"/>
  <c r="I126" i="17"/>
  <c r="M125" i="17"/>
  <c r="L125" i="17"/>
  <c r="I125" i="17"/>
  <c r="M124" i="17"/>
  <c r="L124" i="17"/>
  <c r="I124" i="17"/>
  <c r="M123" i="17"/>
  <c r="L123" i="17"/>
  <c r="I123" i="17"/>
  <c r="M122" i="17"/>
  <c r="L122" i="17"/>
  <c r="I122" i="17"/>
  <c r="M121" i="17"/>
  <c r="L121" i="17"/>
  <c r="I121" i="17"/>
  <c r="M120" i="17"/>
  <c r="L120" i="17"/>
  <c r="I120" i="17"/>
  <c r="M119" i="17"/>
  <c r="L119" i="17"/>
  <c r="I119" i="17"/>
  <c r="M118" i="17"/>
  <c r="L118" i="17"/>
  <c r="I118" i="17"/>
  <c r="M117" i="17"/>
  <c r="L117" i="17"/>
  <c r="I117" i="17"/>
  <c r="M116" i="17"/>
  <c r="L116" i="17"/>
  <c r="I116" i="17"/>
  <c r="M115" i="17"/>
  <c r="L115" i="17"/>
  <c r="I115" i="17"/>
  <c r="M114" i="17"/>
  <c r="L114" i="17"/>
  <c r="I114" i="17"/>
  <c r="M113" i="17"/>
  <c r="L113" i="17"/>
  <c r="I113" i="17"/>
  <c r="M112" i="17"/>
  <c r="L112" i="17"/>
  <c r="I112" i="17"/>
  <c r="M111" i="17"/>
  <c r="L111" i="17"/>
  <c r="I111" i="17"/>
  <c r="M110" i="17"/>
  <c r="L110" i="17"/>
  <c r="I110" i="17"/>
  <c r="M109" i="17"/>
  <c r="L109" i="17"/>
  <c r="I109" i="17"/>
  <c r="M108" i="17"/>
  <c r="L108" i="17"/>
  <c r="I108" i="17"/>
  <c r="M107" i="17"/>
  <c r="L107" i="17"/>
  <c r="I107" i="17"/>
  <c r="M106" i="17"/>
  <c r="L106" i="17"/>
  <c r="I106" i="17"/>
  <c r="M105" i="17"/>
  <c r="L105" i="17"/>
  <c r="I105" i="17"/>
  <c r="M104" i="17"/>
  <c r="L104" i="17"/>
  <c r="I104" i="17"/>
  <c r="M103" i="17"/>
  <c r="L103" i="17"/>
  <c r="I103" i="17"/>
  <c r="M102" i="17"/>
  <c r="L102" i="17"/>
  <c r="I102" i="17"/>
  <c r="M101" i="17"/>
  <c r="L101" i="17"/>
  <c r="I101" i="17"/>
  <c r="M100" i="17"/>
  <c r="L100" i="17"/>
  <c r="I100" i="17"/>
  <c r="M99" i="17"/>
  <c r="L99" i="17"/>
  <c r="I99" i="17"/>
  <c r="M98" i="17"/>
  <c r="L98" i="17"/>
  <c r="I98" i="17"/>
  <c r="M97" i="17"/>
  <c r="L97" i="17"/>
  <c r="I97" i="17"/>
  <c r="M96" i="17"/>
  <c r="L96" i="17"/>
  <c r="I96" i="17"/>
  <c r="M95" i="17"/>
  <c r="L95" i="17"/>
  <c r="I95" i="17"/>
  <c r="M94" i="17"/>
  <c r="L94" i="17"/>
  <c r="I94" i="17"/>
  <c r="M93" i="17"/>
  <c r="L93" i="17"/>
  <c r="I93" i="17"/>
  <c r="M92" i="17"/>
  <c r="L92" i="17"/>
  <c r="I92" i="17"/>
  <c r="M91" i="17"/>
  <c r="L91" i="17"/>
  <c r="I91" i="17"/>
  <c r="M90" i="17"/>
  <c r="L90" i="17"/>
  <c r="I90" i="17"/>
  <c r="M89" i="17"/>
  <c r="L89" i="17"/>
  <c r="I89" i="17"/>
  <c r="M88" i="17"/>
  <c r="O88" i="17" s="1"/>
  <c r="P88" i="17" s="1"/>
  <c r="L88" i="17"/>
  <c r="I88" i="17"/>
  <c r="M87" i="17"/>
  <c r="O87" i="17" s="1"/>
  <c r="P87" i="17" s="1"/>
  <c r="L87" i="17"/>
  <c r="I87" i="17"/>
  <c r="M86" i="17"/>
  <c r="N86" i="17" s="1"/>
  <c r="L86" i="17"/>
  <c r="I86" i="17"/>
  <c r="M85" i="17"/>
  <c r="O85" i="17" s="1"/>
  <c r="P85" i="17" s="1"/>
  <c r="L85" i="17"/>
  <c r="I85" i="17"/>
  <c r="M84" i="17"/>
  <c r="O84" i="17" s="1"/>
  <c r="P84" i="17" s="1"/>
  <c r="L84" i="17"/>
  <c r="I84" i="17"/>
  <c r="M83" i="17"/>
  <c r="N83" i="17" s="1"/>
  <c r="L83" i="17"/>
  <c r="I83" i="17"/>
  <c r="M82" i="17"/>
  <c r="N82" i="17" s="1"/>
  <c r="L82" i="17"/>
  <c r="I82" i="17"/>
  <c r="M81" i="17"/>
  <c r="O81" i="17" s="1"/>
  <c r="P81" i="17" s="1"/>
  <c r="L81" i="17"/>
  <c r="I81" i="17"/>
  <c r="M80" i="17"/>
  <c r="O80" i="17" s="1"/>
  <c r="P80" i="17" s="1"/>
  <c r="L80" i="17"/>
  <c r="I80" i="17"/>
  <c r="M79" i="17"/>
  <c r="N79" i="17" s="1"/>
  <c r="L79" i="17"/>
  <c r="I79" i="17"/>
  <c r="M78" i="17"/>
  <c r="N78" i="17" s="1"/>
  <c r="L78" i="17"/>
  <c r="I78" i="17"/>
  <c r="M77" i="17"/>
  <c r="O77" i="17" s="1"/>
  <c r="P77" i="17" s="1"/>
  <c r="L77" i="17"/>
  <c r="I77" i="17"/>
  <c r="M76" i="17"/>
  <c r="O76" i="17" s="1"/>
  <c r="P76" i="17" s="1"/>
  <c r="L76" i="17"/>
  <c r="I76" i="17"/>
  <c r="M229" i="17"/>
  <c r="L229" i="17"/>
  <c r="I229" i="17"/>
  <c r="M228" i="17"/>
  <c r="L228" i="17"/>
  <c r="I228" i="17"/>
  <c r="M227" i="17"/>
  <c r="L227" i="17"/>
  <c r="I227" i="17"/>
  <c r="M226" i="17"/>
  <c r="L226" i="17"/>
  <c r="I226" i="17"/>
  <c r="M225" i="17"/>
  <c r="L225" i="17"/>
  <c r="I225" i="17"/>
  <c r="M224" i="17"/>
  <c r="L224" i="17"/>
  <c r="I224" i="17"/>
  <c r="M223" i="17"/>
  <c r="L223" i="17"/>
  <c r="I223" i="17"/>
  <c r="M222" i="17"/>
  <c r="L222" i="17"/>
  <c r="I222" i="17"/>
  <c r="M221" i="17"/>
  <c r="L221" i="17"/>
  <c r="I221" i="17"/>
  <c r="M220" i="17"/>
  <c r="L220" i="17"/>
  <c r="I220" i="17"/>
  <c r="M219" i="17"/>
  <c r="L219" i="17"/>
  <c r="I219" i="17"/>
  <c r="M218" i="17"/>
  <c r="L218" i="17"/>
  <c r="I218" i="17"/>
  <c r="M217" i="17"/>
  <c r="L217" i="17"/>
  <c r="I217" i="17"/>
  <c r="M216" i="17"/>
  <c r="L216" i="17"/>
  <c r="I216" i="17"/>
  <c r="M215" i="17"/>
  <c r="L215" i="17"/>
  <c r="I215" i="17"/>
  <c r="M214" i="17"/>
  <c r="L214" i="17"/>
  <c r="I214" i="17"/>
  <c r="M213" i="17"/>
  <c r="L213" i="17"/>
  <c r="I213" i="17"/>
  <c r="M212" i="17"/>
  <c r="L212" i="17"/>
  <c r="I212" i="17"/>
  <c r="M211" i="17"/>
  <c r="L211" i="17"/>
  <c r="I211" i="17"/>
  <c r="M210" i="17"/>
  <c r="L210" i="17"/>
  <c r="I210" i="17"/>
  <c r="M209" i="17"/>
  <c r="L209" i="17"/>
  <c r="I209" i="17"/>
  <c r="M208" i="17"/>
  <c r="L208" i="17"/>
  <c r="I208" i="17"/>
  <c r="M207" i="17"/>
  <c r="L207" i="17"/>
  <c r="I207" i="17"/>
  <c r="M206" i="17"/>
  <c r="L206" i="17"/>
  <c r="I206" i="17"/>
  <c r="M205" i="17"/>
  <c r="L205" i="17"/>
  <c r="I205" i="17"/>
  <c r="M204" i="17"/>
  <c r="L204" i="17"/>
  <c r="I204" i="17"/>
  <c r="M203" i="17"/>
  <c r="L203" i="17"/>
  <c r="I203" i="17"/>
  <c r="M202" i="17"/>
  <c r="L202" i="17"/>
  <c r="I202" i="17"/>
  <c r="M201" i="17"/>
  <c r="L201" i="17"/>
  <c r="I201" i="17"/>
  <c r="M200" i="17"/>
  <c r="L200" i="17"/>
  <c r="I200" i="17"/>
  <c r="M199" i="17"/>
  <c r="L199" i="17"/>
  <c r="I199" i="17"/>
  <c r="M198" i="17"/>
  <c r="L198" i="17"/>
  <c r="I198" i="17"/>
  <c r="M197" i="17"/>
  <c r="L197" i="17"/>
  <c r="I197" i="17"/>
  <c r="M196" i="17"/>
  <c r="L196" i="17"/>
  <c r="I196" i="17"/>
  <c r="M195" i="17"/>
  <c r="L195" i="17"/>
  <c r="I195" i="17"/>
  <c r="M194" i="17"/>
  <c r="L194" i="17"/>
  <c r="I194" i="17"/>
  <c r="M193" i="17"/>
  <c r="L193" i="17"/>
  <c r="I193" i="17"/>
  <c r="M192" i="17"/>
  <c r="L192" i="17"/>
  <c r="I192" i="17"/>
  <c r="M191" i="17"/>
  <c r="L191" i="17"/>
  <c r="I191" i="17"/>
  <c r="M190" i="17"/>
  <c r="L190" i="17"/>
  <c r="I190" i="17"/>
  <c r="M189" i="17"/>
  <c r="L189" i="17"/>
  <c r="I189" i="17"/>
  <c r="M188" i="17"/>
  <c r="L188" i="17"/>
  <c r="I188" i="17"/>
  <c r="M187" i="17"/>
  <c r="L187" i="17"/>
  <c r="I187" i="17"/>
  <c r="M186" i="17"/>
  <c r="L186" i="17"/>
  <c r="I186" i="17"/>
  <c r="M185" i="17"/>
  <c r="L185" i="17"/>
  <c r="I185" i="17"/>
  <c r="M184" i="17"/>
  <c r="L184" i="17"/>
  <c r="I184" i="17"/>
  <c r="M183" i="17"/>
  <c r="L183" i="17"/>
  <c r="I183" i="17"/>
  <c r="M182" i="17"/>
  <c r="L182" i="17"/>
  <c r="I182" i="17"/>
  <c r="M181" i="17"/>
  <c r="L181" i="17"/>
  <c r="I181" i="17"/>
  <c r="M180" i="17"/>
  <c r="L180" i="17"/>
  <c r="I180" i="17"/>
  <c r="M179" i="17"/>
  <c r="L179" i="17"/>
  <c r="I179" i="17"/>
  <c r="M178" i="17"/>
  <c r="L178" i="17"/>
  <c r="I178" i="17"/>
  <c r="M177" i="17"/>
  <c r="L177" i="17"/>
  <c r="I177" i="17"/>
  <c r="M176" i="17"/>
  <c r="L176" i="17"/>
  <c r="I176" i="17"/>
  <c r="M175" i="17"/>
  <c r="L175" i="17"/>
  <c r="I175" i="17"/>
  <c r="M174" i="17"/>
  <c r="L174" i="17"/>
  <c r="I174" i="17"/>
  <c r="M173" i="17"/>
  <c r="L173" i="17"/>
  <c r="I173" i="17"/>
  <c r="M172" i="17"/>
  <c r="L172" i="17"/>
  <c r="I172" i="17"/>
  <c r="M171" i="17"/>
  <c r="L171" i="17"/>
  <c r="I171" i="17"/>
  <c r="M170" i="17"/>
  <c r="L170" i="17"/>
  <c r="I170" i="17"/>
  <c r="M169" i="17"/>
  <c r="L169" i="17"/>
  <c r="I169" i="17"/>
  <c r="M168" i="17"/>
  <c r="L168" i="17"/>
  <c r="I168" i="17"/>
  <c r="M167" i="17"/>
  <c r="L167" i="17"/>
  <c r="I167" i="17"/>
  <c r="M166" i="17"/>
  <c r="L166" i="17"/>
  <c r="I166" i="17"/>
  <c r="M165" i="17"/>
  <c r="L165" i="17"/>
  <c r="I165" i="17"/>
  <c r="M164" i="17"/>
  <c r="L164" i="17"/>
  <c r="I164" i="17"/>
  <c r="M163" i="17"/>
  <c r="L163" i="17"/>
  <c r="I163" i="17"/>
  <c r="M162" i="17"/>
  <c r="L162" i="17"/>
  <c r="I162" i="17"/>
  <c r="M161" i="17"/>
  <c r="L161" i="17"/>
  <c r="I161" i="17"/>
  <c r="M160" i="17"/>
  <c r="L160" i="17"/>
  <c r="I160" i="17"/>
  <c r="M159" i="17"/>
  <c r="L159" i="17"/>
  <c r="I159" i="17"/>
  <c r="M158" i="17"/>
  <c r="L158" i="17"/>
  <c r="I158" i="17"/>
  <c r="M157" i="17"/>
  <c r="L157" i="17"/>
  <c r="I157" i="17"/>
  <c r="M156" i="17"/>
  <c r="L156" i="17"/>
  <c r="I156" i="17"/>
  <c r="M155" i="17"/>
  <c r="L155" i="17"/>
  <c r="I155" i="17"/>
  <c r="M154" i="17"/>
  <c r="L154" i="17"/>
  <c r="I154" i="17"/>
  <c r="M153" i="17"/>
  <c r="L153" i="17"/>
  <c r="I153" i="17"/>
  <c r="M306" i="17"/>
  <c r="L306" i="17"/>
  <c r="I306" i="17"/>
  <c r="M305" i="17"/>
  <c r="L305" i="17"/>
  <c r="I305" i="17"/>
  <c r="M304" i="17"/>
  <c r="L304" i="17"/>
  <c r="I304" i="17"/>
  <c r="M303" i="17"/>
  <c r="L303" i="17"/>
  <c r="I303" i="17"/>
  <c r="M302" i="17"/>
  <c r="L302" i="17"/>
  <c r="I302" i="17"/>
  <c r="M301" i="17"/>
  <c r="L301" i="17"/>
  <c r="I301" i="17"/>
  <c r="M300" i="17"/>
  <c r="L300" i="17"/>
  <c r="I300" i="17"/>
  <c r="M299" i="17"/>
  <c r="L299" i="17"/>
  <c r="I299" i="17"/>
  <c r="M298" i="17"/>
  <c r="L298" i="17"/>
  <c r="I298" i="17"/>
  <c r="M297" i="17"/>
  <c r="L297" i="17"/>
  <c r="I297" i="17"/>
  <c r="M296" i="17"/>
  <c r="L296" i="17"/>
  <c r="I296" i="17"/>
  <c r="M295" i="17"/>
  <c r="L295" i="17"/>
  <c r="I295" i="17"/>
  <c r="M294" i="17"/>
  <c r="L294" i="17"/>
  <c r="I294" i="17"/>
  <c r="M293" i="17"/>
  <c r="L293" i="17"/>
  <c r="I293" i="17"/>
  <c r="M292" i="17"/>
  <c r="L292" i="17"/>
  <c r="I292" i="17"/>
  <c r="M291" i="17"/>
  <c r="L291" i="17"/>
  <c r="I291" i="17"/>
  <c r="M290" i="17"/>
  <c r="L290" i="17"/>
  <c r="I290" i="17"/>
  <c r="M289" i="17"/>
  <c r="L289" i="17"/>
  <c r="I289" i="17"/>
  <c r="M288" i="17"/>
  <c r="L288" i="17"/>
  <c r="I288" i="17"/>
  <c r="M287" i="17"/>
  <c r="L287" i="17"/>
  <c r="I287" i="17"/>
  <c r="M286" i="17"/>
  <c r="L286" i="17"/>
  <c r="I286" i="17"/>
  <c r="M285" i="17"/>
  <c r="L285" i="17"/>
  <c r="I285" i="17"/>
  <c r="M284" i="17"/>
  <c r="L284" i="17"/>
  <c r="I284" i="17"/>
  <c r="M283" i="17"/>
  <c r="L283" i="17"/>
  <c r="I283" i="17"/>
  <c r="M282" i="17"/>
  <c r="L282" i="17"/>
  <c r="I282" i="17"/>
  <c r="M281" i="17"/>
  <c r="L281" i="17"/>
  <c r="I281" i="17"/>
  <c r="M280" i="17"/>
  <c r="L280" i="17"/>
  <c r="I280" i="17"/>
  <c r="M279" i="17"/>
  <c r="L279" i="17"/>
  <c r="I279" i="17"/>
  <c r="M278" i="17"/>
  <c r="L278" i="17"/>
  <c r="I278" i="17"/>
  <c r="M277" i="17"/>
  <c r="L277" i="17"/>
  <c r="I277" i="17"/>
  <c r="M276" i="17"/>
  <c r="L276" i="17"/>
  <c r="I276" i="17"/>
  <c r="M275" i="17"/>
  <c r="L275" i="17"/>
  <c r="I275" i="17"/>
  <c r="M274" i="17"/>
  <c r="L274" i="17"/>
  <c r="I274" i="17"/>
  <c r="M273" i="17"/>
  <c r="L273" i="17"/>
  <c r="I273" i="17"/>
  <c r="M272" i="17"/>
  <c r="L272" i="17"/>
  <c r="I272" i="17"/>
  <c r="M271" i="17"/>
  <c r="L271" i="17"/>
  <c r="I271" i="17"/>
  <c r="M270" i="17"/>
  <c r="L270" i="17"/>
  <c r="I270" i="17"/>
  <c r="M269" i="17"/>
  <c r="L269" i="17"/>
  <c r="I269" i="17"/>
  <c r="M268" i="17"/>
  <c r="L268" i="17"/>
  <c r="I268" i="17"/>
  <c r="M267" i="17"/>
  <c r="L267" i="17"/>
  <c r="I267" i="17"/>
  <c r="M266" i="17"/>
  <c r="L266" i="17"/>
  <c r="I266" i="17"/>
  <c r="M265" i="17"/>
  <c r="L265" i="17"/>
  <c r="I265" i="17"/>
  <c r="M264" i="17"/>
  <c r="L264" i="17"/>
  <c r="I264" i="17"/>
  <c r="M263" i="17"/>
  <c r="L263" i="17"/>
  <c r="I263" i="17"/>
  <c r="M262" i="17"/>
  <c r="L262" i="17"/>
  <c r="I262" i="17"/>
  <c r="M261" i="17"/>
  <c r="L261" i="17"/>
  <c r="I261" i="17"/>
  <c r="M260" i="17"/>
  <c r="L260" i="17"/>
  <c r="I260" i="17"/>
  <c r="M259" i="17"/>
  <c r="L259" i="17"/>
  <c r="I259" i="17"/>
  <c r="M258" i="17"/>
  <c r="L258" i="17"/>
  <c r="I258" i="17"/>
  <c r="M257" i="17"/>
  <c r="L257" i="17"/>
  <c r="I257" i="17"/>
  <c r="M256" i="17"/>
  <c r="L256" i="17"/>
  <c r="I256" i="17"/>
  <c r="M255" i="17"/>
  <c r="L255" i="17"/>
  <c r="I255" i="17"/>
  <c r="M254" i="17"/>
  <c r="L254" i="17"/>
  <c r="I254" i="17"/>
  <c r="M253" i="17"/>
  <c r="L253" i="17"/>
  <c r="I253" i="17"/>
  <c r="M252" i="17"/>
  <c r="L252" i="17"/>
  <c r="I252" i="17"/>
  <c r="M251" i="17"/>
  <c r="L251" i="17"/>
  <c r="I251" i="17"/>
  <c r="M250" i="17"/>
  <c r="L250" i="17"/>
  <c r="I250" i="17"/>
  <c r="M249" i="17"/>
  <c r="L249" i="17"/>
  <c r="I249" i="17"/>
  <c r="M248" i="17"/>
  <c r="L248" i="17"/>
  <c r="I248" i="17"/>
  <c r="M247" i="17"/>
  <c r="L247" i="17"/>
  <c r="I247" i="17"/>
  <c r="M246" i="17"/>
  <c r="L246" i="17"/>
  <c r="I246" i="17"/>
  <c r="M245" i="17"/>
  <c r="L245" i="17"/>
  <c r="I245" i="17"/>
  <c r="M244" i="17"/>
  <c r="L244" i="17"/>
  <c r="I244" i="17"/>
  <c r="M243" i="17"/>
  <c r="L243" i="17"/>
  <c r="I243" i="17"/>
  <c r="M242" i="17"/>
  <c r="O242" i="17" s="1"/>
  <c r="P242" i="17" s="1"/>
  <c r="L242" i="17"/>
  <c r="I242" i="17"/>
  <c r="M241" i="17"/>
  <c r="O241" i="17" s="1"/>
  <c r="P241" i="17" s="1"/>
  <c r="L241" i="17"/>
  <c r="I241" i="17"/>
  <c r="M240" i="17"/>
  <c r="O240" i="17" s="1"/>
  <c r="P240" i="17" s="1"/>
  <c r="L240" i="17"/>
  <c r="I240" i="17"/>
  <c r="M239" i="17"/>
  <c r="O239" i="17" s="1"/>
  <c r="P239" i="17" s="1"/>
  <c r="L239" i="17"/>
  <c r="I239" i="17"/>
  <c r="M238" i="17"/>
  <c r="O238" i="17" s="1"/>
  <c r="P238" i="17" s="1"/>
  <c r="L238" i="17"/>
  <c r="I238" i="17"/>
  <c r="M237" i="17"/>
  <c r="O237" i="17" s="1"/>
  <c r="P237" i="17" s="1"/>
  <c r="L237" i="17"/>
  <c r="I237" i="17"/>
  <c r="M236" i="17"/>
  <c r="O236" i="17" s="1"/>
  <c r="P236" i="17" s="1"/>
  <c r="L236" i="17"/>
  <c r="I236" i="17"/>
  <c r="M235" i="17"/>
  <c r="O235" i="17" s="1"/>
  <c r="P235" i="17" s="1"/>
  <c r="L235" i="17"/>
  <c r="I235" i="17"/>
  <c r="M234" i="17"/>
  <c r="O234" i="17" s="1"/>
  <c r="P234" i="17" s="1"/>
  <c r="L234" i="17"/>
  <c r="I234" i="17"/>
  <c r="M233" i="17"/>
  <c r="O233" i="17" s="1"/>
  <c r="P233" i="17" s="1"/>
  <c r="L233" i="17"/>
  <c r="I233" i="17"/>
  <c r="M232" i="17"/>
  <c r="O232" i="17" s="1"/>
  <c r="P232" i="17" s="1"/>
  <c r="L232" i="17"/>
  <c r="I232" i="17"/>
  <c r="M231" i="17"/>
  <c r="O231" i="17" s="1"/>
  <c r="P231" i="17" s="1"/>
  <c r="L231" i="17"/>
  <c r="I231" i="17"/>
  <c r="M230" i="17"/>
  <c r="O230" i="17" s="1"/>
  <c r="P230" i="17" s="1"/>
  <c r="L230" i="17"/>
  <c r="I230" i="17"/>
  <c r="M396" i="17"/>
  <c r="O396" i="17" s="1"/>
  <c r="P396" i="17" s="1"/>
  <c r="L396" i="17"/>
  <c r="I396" i="17"/>
  <c r="M395" i="17"/>
  <c r="O395" i="17" s="1"/>
  <c r="P395" i="17" s="1"/>
  <c r="L395" i="17"/>
  <c r="I395" i="17"/>
  <c r="M394" i="17"/>
  <c r="O394" i="17" s="1"/>
  <c r="P394" i="17" s="1"/>
  <c r="L394" i="17"/>
  <c r="I394" i="17"/>
  <c r="M393" i="17"/>
  <c r="O393" i="17" s="1"/>
  <c r="P393" i="17" s="1"/>
  <c r="L393" i="17"/>
  <c r="I393" i="17"/>
  <c r="M392" i="17"/>
  <c r="O392" i="17" s="1"/>
  <c r="P392" i="17" s="1"/>
  <c r="L392" i="17"/>
  <c r="I392" i="17"/>
  <c r="M391" i="17"/>
  <c r="O391" i="17" s="1"/>
  <c r="P391" i="17" s="1"/>
  <c r="L391" i="17"/>
  <c r="I391" i="17"/>
  <c r="M390" i="17"/>
  <c r="O390" i="17" s="1"/>
  <c r="P390" i="17" s="1"/>
  <c r="L390" i="17"/>
  <c r="I390" i="17"/>
  <c r="M389" i="17"/>
  <c r="O389" i="17" s="1"/>
  <c r="P389" i="17" s="1"/>
  <c r="L389" i="17"/>
  <c r="I389" i="17"/>
  <c r="M388" i="17"/>
  <c r="O388" i="17" s="1"/>
  <c r="P388" i="17" s="1"/>
  <c r="L388" i="17"/>
  <c r="I388" i="17"/>
  <c r="M387" i="17"/>
  <c r="O387" i="17" s="1"/>
  <c r="P387" i="17" s="1"/>
  <c r="L387" i="17"/>
  <c r="I387" i="17"/>
  <c r="M386" i="17"/>
  <c r="O386" i="17" s="1"/>
  <c r="P386" i="17" s="1"/>
  <c r="L386" i="17"/>
  <c r="I386" i="17"/>
  <c r="M385" i="17"/>
  <c r="O385" i="17" s="1"/>
  <c r="P385" i="17" s="1"/>
  <c r="L385" i="17"/>
  <c r="I385" i="17"/>
  <c r="M384" i="17"/>
  <c r="O384" i="17" s="1"/>
  <c r="P384" i="17" s="1"/>
  <c r="L384" i="17"/>
  <c r="I384" i="17"/>
  <c r="M383" i="17"/>
  <c r="L383" i="17"/>
  <c r="I383" i="17"/>
  <c r="M382" i="17"/>
  <c r="O382" i="17" s="1"/>
  <c r="P382" i="17" s="1"/>
  <c r="L382" i="17"/>
  <c r="I382" i="17"/>
  <c r="M381" i="17"/>
  <c r="L381" i="17"/>
  <c r="I381" i="17"/>
  <c r="M380" i="17"/>
  <c r="O380" i="17" s="1"/>
  <c r="P380" i="17" s="1"/>
  <c r="L380" i="17"/>
  <c r="I380" i="17"/>
  <c r="M379" i="17"/>
  <c r="L379" i="17"/>
  <c r="I379" i="17"/>
  <c r="M378" i="17"/>
  <c r="O378" i="17" s="1"/>
  <c r="P378" i="17" s="1"/>
  <c r="L378" i="17"/>
  <c r="I378" i="17"/>
  <c r="M377" i="17"/>
  <c r="L377" i="17"/>
  <c r="I377" i="17"/>
  <c r="M376" i="17"/>
  <c r="O376" i="17" s="1"/>
  <c r="P376" i="17" s="1"/>
  <c r="L376" i="17"/>
  <c r="I376" i="17"/>
  <c r="M375" i="17"/>
  <c r="L375" i="17"/>
  <c r="I375" i="17"/>
  <c r="M374" i="17"/>
  <c r="O374" i="17" s="1"/>
  <c r="P374" i="17" s="1"/>
  <c r="L374" i="17"/>
  <c r="I374" i="17"/>
  <c r="M373" i="17"/>
  <c r="L373" i="17"/>
  <c r="I373" i="17"/>
  <c r="M372" i="17"/>
  <c r="O372" i="17" s="1"/>
  <c r="P372" i="17" s="1"/>
  <c r="L372" i="17"/>
  <c r="I372" i="17"/>
  <c r="M371" i="17"/>
  <c r="L371" i="17"/>
  <c r="I371" i="17"/>
  <c r="M370" i="17"/>
  <c r="O370" i="17" s="1"/>
  <c r="P370" i="17" s="1"/>
  <c r="L370" i="17"/>
  <c r="I370" i="17"/>
  <c r="M369" i="17"/>
  <c r="L369" i="17"/>
  <c r="I369" i="17"/>
  <c r="M368" i="17"/>
  <c r="O368" i="17" s="1"/>
  <c r="P368" i="17" s="1"/>
  <c r="L368" i="17"/>
  <c r="I368" i="17"/>
  <c r="M367" i="17"/>
  <c r="L367" i="17"/>
  <c r="I367" i="17"/>
  <c r="M366" i="17"/>
  <c r="O366" i="17" s="1"/>
  <c r="P366" i="17" s="1"/>
  <c r="L366" i="17"/>
  <c r="I366" i="17"/>
  <c r="M365" i="17"/>
  <c r="L365" i="17"/>
  <c r="I365" i="17"/>
  <c r="M364" i="17"/>
  <c r="O364" i="17" s="1"/>
  <c r="P364" i="17" s="1"/>
  <c r="L364" i="17"/>
  <c r="I364" i="17"/>
  <c r="M363" i="17"/>
  <c r="L363" i="17"/>
  <c r="I363" i="17"/>
  <c r="M362" i="17"/>
  <c r="O362" i="17" s="1"/>
  <c r="P362" i="17" s="1"/>
  <c r="L362" i="17"/>
  <c r="I362" i="17"/>
  <c r="M361" i="17"/>
  <c r="L361" i="17"/>
  <c r="I361" i="17"/>
  <c r="M360" i="17"/>
  <c r="O360" i="17" s="1"/>
  <c r="P360" i="17" s="1"/>
  <c r="L360" i="17"/>
  <c r="I360" i="17"/>
  <c r="M359" i="17"/>
  <c r="L359" i="17"/>
  <c r="I359" i="17"/>
  <c r="M358" i="17"/>
  <c r="O358" i="17" s="1"/>
  <c r="P358" i="17" s="1"/>
  <c r="L358" i="17"/>
  <c r="I358" i="17"/>
  <c r="M357" i="17"/>
  <c r="L357" i="17"/>
  <c r="I357" i="17"/>
  <c r="M356" i="17"/>
  <c r="O356" i="17" s="1"/>
  <c r="P356" i="17" s="1"/>
  <c r="L356" i="17"/>
  <c r="I356" i="17"/>
  <c r="M355" i="17"/>
  <c r="L355" i="17"/>
  <c r="I355" i="17"/>
  <c r="M354" i="17"/>
  <c r="O354" i="17" s="1"/>
  <c r="P354" i="17" s="1"/>
  <c r="L354" i="17"/>
  <c r="I354" i="17"/>
  <c r="M353" i="17"/>
  <c r="L353" i="17"/>
  <c r="I353" i="17"/>
  <c r="M352" i="17"/>
  <c r="O352" i="17" s="1"/>
  <c r="P352" i="17" s="1"/>
  <c r="L352" i="17"/>
  <c r="I352" i="17"/>
  <c r="M351" i="17"/>
  <c r="L351" i="17"/>
  <c r="I351" i="17"/>
  <c r="M350" i="17"/>
  <c r="O350" i="17" s="1"/>
  <c r="P350" i="17" s="1"/>
  <c r="L350" i="17"/>
  <c r="I350" i="17"/>
  <c r="M349" i="17"/>
  <c r="L349" i="17"/>
  <c r="I349" i="17"/>
  <c r="M348" i="17"/>
  <c r="O348" i="17" s="1"/>
  <c r="P348" i="17" s="1"/>
  <c r="L348" i="17"/>
  <c r="I348" i="17"/>
  <c r="M347" i="17"/>
  <c r="L347" i="17"/>
  <c r="I347" i="17"/>
  <c r="M346" i="17"/>
  <c r="O346" i="17" s="1"/>
  <c r="P346" i="17" s="1"/>
  <c r="L346" i="17"/>
  <c r="I346" i="17"/>
  <c r="M345" i="17"/>
  <c r="L345" i="17"/>
  <c r="I345" i="17"/>
  <c r="M344" i="17"/>
  <c r="O344" i="17" s="1"/>
  <c r="P344" i="17" s="1"/>
  <c r="L344" i="17"/>
  <c r="I344" i="17"/>
  <c r="M343" i="17"/>
  <c r="L343" i="17"/>
  <c r="I343" i="17"/>
  <c r="M342" i="17"/>
  <c r="O342" i="17" s="1"/>
  <c r="P342" i="17" s="1"/>
  <c r="L342" i="17"/>
  <c r="I342" i="17"/>
  <c r="M341" i="17"/>
  <c r="L341" i="17"/>
  <c r="I341" i="17"/>
  <c r="M340" i="17"/>
  <c r="O340" i="17" s="1"/>
  <c r="P340" i="17" s="1"/>
  <c r="L340" i="17"/>
  <c r="I340" i="17"/>
  <c r="M339" i="17"/>
  <c r="L339" i="17"/>
  <c r="I339" i="17"/>
  <c r="M338" i="17"/>
  <c r="O338" i="17" s="1"/>
  <c r="P338" i="17" s="1"/>
  <c r="L338" i="17"/>
  <c r="I338" i="17"/>
  <c r="M337" i="17"/>
  <c r="L337" i="17"/>
  <c r="I337" i="17"/>
  <c r="M336" i="17"/>
  <c r="O336" i="17" s="1"/>
  <c r="P336" i="17" s="1"/>
  <c r="L336" i="17"/>
  <c r="I336" i="17"/>
  <c r="M335" i="17"/>
  <c r="L335" i="17"/>
  <c r="I335" i="17"/>
  <c r="M334" i="17"/>
  <c r="O334" i="17" s="1"/>
  <c r="P334" i="17" s="1"/>
  <c r="L334" i="17"/>
  <c r="I334" i="17"/>
  <c r="M333" i="17"/>
  <c r="L333" i="17"/>
  <c r="I333" i="17"/>
  <c r="M332" i="17"/>
  <c r="O332" i="17" s="1"/>
  <c r="P332" i="17" s="1"/>
  <c r="L332" i="17"/>
  <c r="I332" i="17"/>
  <c r="M331" i="17"/>
  <c r="L331" i="17"/>
  <c r="I331" i="17"/>
  <c r="M330" i="17"/>
  <c r="O330" i="17" s="1"/>
  <c r="P330" i="17" s="1"/>
  <c r="L330" i="17"/>
  <c r="I330" i="17"/>
  <c r="M329" i="17"/>
  <c r="L329" i="17"/>
  <c r="I329" i="17"/>
  <c r="M328" i="17"/>
  <c r="O328" i="17" s="1"/>
  <c r="P328" i="17" s="1"/>
  <c r="L328" i="17"/>
  <c r="I328" i="17"/>
  <c r="M327" i="17"/>
  <c r="L327" i="17"/>
  <c r="I327" i="17"/>
  <c r="M326" i="17"/>
  <c r="O326" i="17" s="1"/>
  <c r="P326" i="17" s="1"/>
  <c r="L326" i="17"/>
  <c r="I326" i="17"/>
  <c r="M325" i="17"/>
  <c r="L325" i="17"/>
  <c r="I325" i="17"/>
  <c r="M324" i="17"/>
  <c r="O324" i="17" s="1"/>
  <c r="P324" i="17" s="1"/>
  <c r="L324" i="17"/>
  <c r="I324" i="17"/>
  <c r="M323" i="17"/>
  <c r="L323" i="17"/>
  <c r="I323" i="17"/>
  <c r="M322" i="17"/>
  <c r="O322" i="17" s="1"/>
  <c r="P322" i="17" s="1"/>
  <c r="L322" i="17"/>
  <c r="I322" i="17"/>
  <c r="M321" i="17"/>
  <c r="L321" i="17"/>
  <c r="I321" i="17"/>
  <c r="M320" i="17"/>
  <c r="O320" i="17" s="1"/>
  <c r="P320" i="17" s="1"/>
  <c r="L320" i="17"/>
  <c r="I320" i="17"/>
  <c r="M460" i="17"/>
  <c r="O460" i="17" s="1"/>
  <c r="P460" i="17" s="1"/>
  <c r="L460" i="17"/>
  <c r="I460" i="17"/>
  <c r="M459" i="17"/>
  <c r="O459" i="17" s="1"/>
  <c r="P459" i="17" s="1"/>
  <c r="L459" i="17"/>
  <c r="I459" i="17"/>
  <c r="M458" i="17"/>
  <c r="O458" i="17" s="1"/>
  <c r="P458" i="17" s="1"/>
  <c r="L458" i="17"/>
  <c r="I458" i="17"/>
  <c r="M457" i="17"/>
  <c r="O457" i="17" s="1"/>
  <c r="P457" i="17" s="1"/>
  <c r="L457" i="17"/>
  <c r="I457" i="17"/>
  <c r="M456" i="17"/>
  <c r="O456" i="17" s="1"/>
  <c r="P456" i="17" s="1"/>
  <c r="L456" i="17"/>
  <c r="I456" i="17"/>
  <c r="M455" i="17"/>
  <c r="O455" i="17" s="1"/>
  <c r="P455" i="17" s="1"/>
  <c r="L455" i="17"/>
  <c r="I455" i="17"/>
  <c r="M454" i="17"/>
  <c r="O454" i="17" s="1"/>
  <c r="P454" i="17" s="1"/>
  <c r="L454" i="17"/>
  <c r="I454" i="17"/>
  <c r="M453" i="17"/>
  <c r="O453" i="17" s="1"/>
  <c r="P453" i="17" s="1"/>
  <c r="L453" i="17"/>
  <c r="I453" i="17"/>
  <c r="M452" i="17"/>
  <c r="O452" i="17" s="1"/>
  <c r="P452" i="17" s="1"/>
  <c r="L452" i="17"/>
  <c r="I452" i="17"/>
  <c r="M451" i="17"/>
  <c r="O451" i="17" s="1"/>
  <c r="P451" i="17" s="1"/>
  <c r="L451" i="17"/>
  <c r="I451" i="17"/>
  <c r="M450" i="17"/>
  <c r="O450" i="17" s="1"/>
  <c r="P450" i="17" s="1"/>
  <c r="L450" i="17"/>
  <c r="I450" i="17"/>
  <c r="M449" i="17"/>
  <c r="O449" i="17" s="1"/>
  <c r="P449" i="17" s="1"/>
  <c r="L449" i="17"/>
  <c r="I449" i="17"/>
  <c r="M448" i="17"/>
  <c r="O448" i="17" s="1"/>
  <c r="P448" i="17" s="1"/>
  <c r="L448" i="17"/>
  <c r="I448" i="17"/>
  <c r="M447" i="17"/>
  <c r="O447" i="17" s="1"/>
  <c r="P447" i="17" s="1"/>
  <c r="L447" i="17"/>
  <c r="I447" i="17"/>
  <c r="M446" i="17"/>
  <c r="O446" i="17" s="1"/>
  <c r="P446" i="17" s="1"/>
  <c r="L446" i="17"/>
  <c r="I446" i="17"/>
  <c r="M445" i="17"/>
  <c r="O445" i="17" s="1"/>
  <c r="P445" i="17" s="1"/>
  <c r="L445" i="17"/>
  <c r="I445" i="17"/>
  <c r="M444" i="17"/>
  <c r="O444" i="17" s="1"/>
  <c r="P444" i="17" s="1"/>
  <c r="L444" i="17"/>
  <c r="I444" i="17"/>
  <c r="M443" i="17"/>
  <c r="O443" i="17" s="1"/>
  <c r="P443" i="17" s="1"/>
  <c r="L443" i="17"/>
  <c r="I443" i="17"/>
  <c r="M442" i="17"/>
  <c r="O442" i="17" s="1"/>
  <c r="P442" i="17" s="1"/>
  <c r="L442" i="17"/>
  <c r="I442" i="17"/>
  <c r="M441" i="17"/>
  <c r="O441" i="17" s="1"/>
  <c r="P441" i="17" s="1"/>
  <c r="L441" i="17"/>
  <c r="I441" i="17"/>
  <c r="M440" i="17"/>
  <c r="L440" i="17"/>
  <c r="I440" i="17"/>
  <c r="M439" i="17"/>
  <c r="L439" i="17"/>
  <c r="I439" i="17"/>
  <c r="M438" i="17"/>
  <c r="L438" i="17"/>
  <c r="I438" i="17"/>
  <c r="M437" i="17"/>
  <c r="L437" i="17"/>
  <c r="I437" i="17"/>
  <c r="M436" i="17"/>
  <c r="L436" i="17"/>
  <c r="I436" i="17"/>
  <c r="M435" i="17"/>
  <c r="L435" i="17"/>
  <c r="I435" i="17"/>
  <c r="M434" i="17"/>
  <c r="L434" i="17"/>
  <c r="I434" i="17"/>
  <c r="M433" i="17"/>
  <c r="L433" i="17"/>
  <c r="I433" i="17"/>
  <c r="M432" i="17"/>
  <c r="L432" i="17"/>
  <c r="I432" i="17"/>
  <c r="M431" i="17"/>
  <c r="L431" i="17"/>
  <c r="I431" i="17"/>
  <c r="M430" i="17"/>
  <c r="L430" i="17"/>
  <c r="I430" i="17"/>
  <c r="M429" i="17"/>
  <c r="L429" i="17"/>
  <c r="I429" i="17"/>
  <c r="M428" i="17"/>
  <c r="L428" i="17"/>
  <c r="I428" i="17"/>
  <c r="M427" i="17"/>
  <c r="L427" i="17"/>
  <c r="I427" i="17"/>
  <c r="M426" i="17"/>
  <c r="L426" i="17"/>
  <c r="I426" i="17"/>
  <c r="M425" i="17"/>
  <c r="L425" i="17"/>
  <c r="I425" i="17"/>
  <c r="M424" i="17"/>
  <c r="L424" i="17"/>
  <c r="I424" i="17"/>
  <c r="M423" i="17"/>
  <c r="L423" i="17"/>
  <c r="I423" i="17"/>
  <c r="M422" i="17"/>
  <c r="L422" i="17"/>
  <c r="I422" i="17"/>
  <c r="M421" i="17"/>
  <c r="L421" i="17"/>
  <c r="I421" i="17"/>
  <c r="M470" i="17"/>
  <c r="O470" i="17" s="1"/>
  <c r="P470" i="17" s="1"/>
  <c r="L470" i="17"/>
  <c r="I470" i="17"/>
  <c r="M469" i="17"/>
  <c r="O469" i="17" s="1"/>
  <c r="P469" i="17" s="1"/>
  <c r="L469" i="17"/>
  <c r="I469" i="17"/>
  <c r="M468" i="17"/>
  <c r="O468" i="17" s="1"/>
  <c r="P468" i="17" s="1"/>
  <c r="L468" i="17"/>
  <c r="I468" i="17"/>
  <c r="M467" i="17"/>
  <c r="O467" i="17" s="1"/>
  <c r="P467" i="17" s="1"/>
  <c r="L467" i="17"/>
  <c r="I467" i="17"/>
  <c r="M466" i="17"/>
  <c r="O466" i="17" s="1"/>
  <c r="P466" i="17" s="1"/>
  <c r="L466" i="17"/>
  <c r="I466" i="17"/>
  <c r="M465" i="17"/>
  <c r="O465" i="17" s="1"/>
  <c r="P465" i="17" s="1"/>
  <c r="L465" i="17"/>
  <c r="I465" i="17"/>
  <c r="M464" i="17"/>
  <c r="O464" i="17" s="1"/>
  <c r="P464" i="17" s="1"/>
  <c r="L464" i="17"/>
  <c r="I464" i="17"/>
  <c r="M463" i="17"/>
  <c r="O463" i="17" s="1"/>
  <c r="P463" i="17" s="1"/>
  <c r="L463" i="17"/>
  <c r="I463" i="17"/>
  <c r="M462" i="17"/>
  <c r="O462" i="17" s="1"/>
  <c r="P462" i="17" s="1"/>
  <c r="L462" i="17"/>
  <c r="I462" i="17"/>
  <c r="M461" i="17"/>
  <c r="O461" i="17" s="1"/>
  <c r="P461" i="17" s="1"/>
  <c r="L461" i="17"/>
  <c r="I461" i="17"/>
  <c r="M480" i="17"/>
  <c r="O480" i="17" s="1"/>
  <c r="P480" i="17" s="1"/>
  <c r="L480" i="17"/>
  <c r="I480" i="17"/>
  <c r="M479" i="17"/>
  <c r="O479" i="17" s="1"/>
  <c r="P479" i="17" s="1"/>
  <c r="L479" i="17"/>
  <c r="I479" i="17"/>
  <c r="M478" i="17"/>
  <c r="O478" i="17" s="1"/>
  <c r="P478" i="17" s="1"/>
  <c r="L478" i="17"/>
  <c r="I478" i="17"/>
  <c r="M477" i="17"/>
  <c r="O477" i="17" s="1"/>
  <c r="P477" i="17" s="1"/>
  <c r="L477" i="17"/>
  <c r="I477" i="17"/>
  <c r="M476" i="17"/>
  <c r="O476" i="17" s="1"/>
  <c r="P476" i="17" s="1"/>
  <c r="L476" i="17"/>
  <c r="I476" i="17"/>
  <c r="M475" i="17"/>
  <c r="O475" i="17" s="1"/>
  <c r="P475" i="17" s="1"/>
  <c r="L475" i="17"/>
  <c r="I475" i="17"/>
  <c r="M474" i="17"/>
  <c r="O474" i="17" s="1"/>
  <c r="P474" i="17" s="1"/>
  <c r="L474" i="17"/>
  <c r="I474" i="17"/>
  <c r="M473" i="17"/>
  <c r="O473" i="17" s="1"/>
  <c r="P473" i="17" s="1"/>
  <c r="L473" i="17"/>
  <c r="I473" i="17"/>
  <c r="M472" i="17"/>
  <c r="O472" i="17" s="1"/>
  <c r="P472" i="17" s="1"/>
  <c r="L472" i="17"/>
  <c r="I472" i="17"/>
  <c r="M471" i="17"/>
  <c r="O471" i="17" s="1"/>
  <c r="P471" i="17" s="1"/>
  <c r="L471" i="17"/>
  <c r="I471" i="17"/>
  <c r="M490" i="17"/>
  <c r="O490" i="17" s="1"/>
  <c r="P490" i="17" s="1"/>
  <c r="L490" i="17"/>
  <c r="I490" i="17"/>
  <c r="M489" i="17"/>
  <c r="O489" i="17" s="1"/>
  <c r="P489" i="17" s="1"/>
  <c r="L489" i="17"/>
  <c r="I489" i="17"/>
  <c r="M488" i="17"/>
  <c r="O488" i="17" s="1"/>
  <c r="P488" i="17" s="1"/>
  <c r="L488" i="17"/>
  <c r="I488" i="17"/>
  <c r="M487" i="17"/>
  <c r="O487" i="17" s="1"/>
  <c r="P487" i="17" s="1"/>
  <c r="L487" i="17"/>
  <c r="I487" i="17"/>
  <c r="M486" i="17"/>
  <c r="O486" i="17" s="1"/>
  <c r="P486" i="17" s="1"/>
  <c r="L486" i="17"/>
  <c r="I486" i="17"/>
  <c r="M485" i="17"/>
  <c r="O485" i="17" s="1"/>
  <c r="P485" i="17" s="1"/>
  <c r="L485" i="17"/>
  <c r="I485" i="17"/>
  <c r="M484" i="17"/>
  <c r="O484" i="17" s="1"/>
  <c r="P484" i="17" s="1"/>
  <c r="L484" i="17"/>
  <c r="I484" i="17"/>
  <c r="M483" i="17"/>
  <c r="O483" i="17" s="1"/>
  <c r="P483" i="17" s="1"/>
  <c r="L483" i="17"/>
  <c r="I483" i="17"/>
  <c r="M482" i="17"/>
  <c r="O482" i="17" s="1"/>
  <c r="P482" i="17" s="1"/>
  <c r="L482" i="17"/>
  <c r="I482" i="17"/>
  <c r="M481" i="17"/>
  <c r="O481" i="17" s="1"/>
  <c r="P481" i="17" s="1"/>
  <c r="L481" i="17"/>
  <c r="I481" i="17"/>
  <c r="I420" i="17"/>
  <c r="L420" i="17"/>
  <c r="M420" i="17"/>
  <c r="N420" i="17" s="1"/>
  <c r="I491" i="17"/>
  <c r="L491" i="17"/>
  <c r="M491" i="17"/>
  <c r="N491" i="17" s="1"/>
  <c r="I492" i="17"/>
  <c r="L492" i="17"/>
  <c r="M492" i="17"/>
  <c r="N492" i="17" s="1"/>
  <c r="I493" i="17"/>
  <c r="L493" i="17"/>
  <c r="M493" i="17"/>
  <c r="N493" i="17" s="1"/>
  <c r="I494" i="17"/>
  <c r="L494" i="17"/>
  <c r="M494" i="17"/>
  <c r="N494" i="17" s="1"/>
  <c r="I495" i="17"/>
  <c r="L495" i="17"/>
  <c r="M495" i="17"/>
  <c r="N495" i="17" s="1"/>
  <c r="I496" i="17"/>
  <c r="L496" i="17"/>
  <c r="M496" i="17"/>
  <c r="N496" i="17" s="1"/>
  <c r="I497" i="17"/>
  <c r="L497" i="17"/>
  <c r="M497" i="17"/>
  <c r="N497" i="17" s="1"/>
  <c r="I498" i="17"/>
  <c r="L498" i="17"/>
  <c r="M498" i="17"/>
  <c r="N498" i="17" s="1"/>
  <c r="I499" i="17"/>
  <c r="L499" i="17"/>
  <c r="M499" i="17"/>
  <c r="N499" i="17" s="1"/>
  <c r="H5" i="45"/>
  <c r="I5" i="45"/>
  <c r="I17" i="17"/>
  <c r="N324" i="17" l="1"/>
  <c r="N362" i="17"/>
  <c r="N322" i="17"/>
  <c r="N342" i="17"/>
  <c r="N380" i="17"/>
  <c r="N386" i="17"/>
  <c r="N382" i="17"/>
  <c r="N388" i="17"/>
  <c r="N330" i="17"/>
  <c r="N348" i="17"/>
  <c r="N354" i="17"/>
  <c r="O79" i="17"/>
  <c r="P79" i="17" s="1"/>
  <c r="N80" i="17"/>
  <c r="O83" i="17"/>
  <c r="P83" i="17" s="1"/>
  <c r="N84" i="17"/>
  <c r="O86" i="17"/>
  <c r="P86" i="17" s="1"/>
  <c r="N87" i="17"/>
  <c r="N350" i="17"/>
  <c r="N356" i="17"/>
  <c r="N374" i="17"/>
  <c r="O82" i="17"/>
  <c r="P82" i="17" s="1"/>
  <c r="N326" i="17"/>
  <c r="N332" i="17"/>
  <c r="N338" i="17"/>
  <c r="N358" i="17"/>
  <c r="N364" i="17"/>
  <c r="N370" i="17"/>
  <c r="N390" i="17"/>
  <c r="N76" i="17"/>
  <c r="O78" i="17"/>
  <c r="P78" i="17" s="1"/>
  <c r="N334" i="17"/>
  <c r="N340" i="17"/>
  <c r="N346" i="17"/>
  <c r="N366" i="17"/>
  <c r="N372" i="17"/>
  <c r="N378" i="17"/>
  <c r="N88" i="17"/>
  <c r="N481" i="17"/>
  <c r="N482" i="17"/>
  <c r="N483" i="17"/>
  <c r="N484" i="17"/>
  <c r="N485" i="17"/>
  <c r="N486" i="17"/>
  <c r="N487" i="17"/>
  <c r="N488" i="17"/>
  <c r="N489" i="17"/>
  <c r="N490" i="17"/>
  <c r="N320" i="17"/>
  <c r="N328" i="17"/>
  <c r="N336" i="17"/>
  <c r="N344" i="17"/>
  <c r="N352" i="17"/>
  <c r="N360" i="17"/>
  <c r="N368" i="17"/>
  <c r="N376" i="17"/>
  <c r="N384" i="17"/>
  <c r="N392" i="17"/>
  <c r="N393" i="17"/>
  <c r="N394" i="17"/>
  <c r="N395" i="17"/>
  <c r="N396" i="17"/>
  <c r="N230" i="17"/>
  <c r="N231" i="17"/>
  <c r="N232" i="17"/>
  <c r="N233" i="17"/>
  <c r="N234" i="17"/>
  <c r="N235" i="17"/>
  <c r="N236" i="17"/>
  <c r="N237" i="17"/>
  <c r="N238" i="17"/>
  <c r="N239" i="17"/>
  <c r="N240" i="17"/>
  <c r="N241" i="17"/>
  <c r="N242" i="17"/>
  <c r="N77" i="17"/>
  <c r="N81" i="17"/>
  <c r="N85" i="17"/>
  <c r="N307" i="17"/>
  <c r="N308" i="17"/>
  <c r="N309" i="17"/>
  <c r="N310" i="17"/>
  <c r="N311" i="17"/>
  <c r="N312" i="17"/>
  <c r="N313" i="17"/>
  <c r="N314" i="17"/>
  <c r="N315" i="17"/>
  <c r="N316" i="17"/>
  <c r="N317" i="17"/>
  <c r="N318" i="17"/>
  <c r="N319" i="17"/>
  <c r="O89" i="17"/>
  <c r="P89" i="17" s="1"/>
  <c r="N89" i="17"/>
  <c r="O101" i="17"/>
  <c r="P101" i="17" s="1"/>
  <c r="N101" i="17"/>
  <c r="O109" i="17"/>
  <c r="P109" i="17" s="1"/>
  <c r="N109" i="17"/>
  <c r="O117" i="17"/>
  <c r="P117" i="17" s="1"/>
  <c r="N117" i="17"/>
  <c r="O121" i="17"/>
  <c r="P121" i="17" s="1"/>
  <c r="N121" i="17"/>
  <c r="O129" i="17"/>
  <c r="P129" i="17" s="1"/>
  <c r="N129" i="17"/>
  <c r="O133" i="17"/>
  <c r="P133" i="17" s="1"/>
  <c r="N133" i="17"/>
  <c r="O137" i="17"/>
  <c r="P137" i="17" s="1"/>
  <c r="N137" i="17"/>
  <c r="O145" i="17"/>
  <c r="P145" i="17" s="1"/>
  <c r="N145" i="17"/>
  <c r="O104" i="17"/>
  <c r="P104" i="17" s="1"/>
  <c r="N104" i="17"/>
  <c r="O112" i="17"/>
  <c r="P112" i="17" s="1"/>
  <c r="N112" i="17"/>
  <c r="O116" i="17"/>
  <c r="P116" i="17" s="1"/>
  <c r="N116" i="17"/>
  <c r="O124" i="17"/>
  <c r="P124" i="17" s="1"/>
  <c r="N124" i="17"/>
  <c r="O136" i="17"/>
  <c r="P136" i="17" s="1"/>
  <c r="N136" i="17"/>
  <c r="O144" i="17"/>
  <c r="P144" i="17" s="1"/>
  <c r="N144" i="17"/>
  <c r="O148" i="17"/>
  <c r="P148" i="17" s="1"/>
  <c r="N148" i="17"/>
  <c r="O90" i="17"/>
  <c r="P90" i="17" s="1"/>
  <c r="N90" i="17"/>
  <c r="O94" i="17"/>
  <c r="P94" i="17" s="1"/>
  <c r="N94" i="17"/>
  <c r="O98" i="17"/>
  <c r="P98" i="17" s="1"/>
  <c r="N98" i="17"/>
  <c r="O102" i="17"/>
  <c r="P102" i="17" s="1"/>
  <c r="N102" i="17"/>
  <c r="O106" i="17"/>
  <c r="P106" i="17" s="1"/>
  <c r="N106" i="17"/>
  <c r="O110" i="17"/>
  <c r="P110" i="17" s="1"/>
  <c r="N110" i="17"/>
  <c r="O114" i="17"/>
  <c r="P114" i="17" s="1"/>
  <c r="N114" i="17"/>
  <c r="O118" i="17"/>
  <c r="P118" i="17" s="1"/>
  <c r="N118" i="17"/>
  <c r="O122" i="17"/>
  <c r="P122" i="17" s="1"/>
  <c r="N122" i="17"/>
  <c r="O126" i="17"/>
  <c r="P126" i="17" s="1"/>
  <c r="N126" i="17"/>
  <c r="O130" i="17"/>
  <c r="P130" i="17" s="1"/>
  <c r="N130" i="17"/>
  <c r="O134" i="17"/>
  <c r="P134" i="17" s="1"/>
  <c r="N134" i="17"/>
  <c r="O138" i="17"/>
  <c r="P138" i="17" s="1"/>
  <c r="N138" i="17"/>
  <c r="O142" i="17"/>
  <c r="P142" i="17" s="1"/>
  <c r="N142" i="17"/>
  <c r="O146" i="17"/>
  <c r="P146" i="17" s="1"/>
  <c r="N146" i="17"/>
  <c r="O150" i="17"/>
  <c r="P150" i="17" s="1"/>
  <c r="N150" i="17"/>
  <c r="O93" i="17"/>
  <c r="P93" i="17" s="1"/>
  <c r="N93" i="17"/>
  <c r="O97" i="17"/>
  <c r="P97" i="17" s="1"/>
  <c r="N97" i="17"/>
  <c r="O105" i="17"/>
  <c r="P105" i="17" s="1"/>
  <c r="N105" i="17"/>
  <c r="O113" i="17"/>
  <c r="P113" i="17" s="1"/>
  <c r="N113" i="17"/>
  <c r="O125" i="17"/>
  <c r="P125" i="17" s="1"/>
  <c r="N125" i="17"/>
  <c r="O141" i="17"/>
  <c r="P141" i="17" s="1"/>
  <c r="N141" i="17"/>
  <c r="O149" i="17"/>
  <c r="P149" i="17" s="1"/>
  <c r="N149" i="17"/>
  <c r="O92" i="17"/>
  <c r="P92" i="17" s="1"/>
  <c r="N92" i="17"/>
  <c r="O96" i="17"/>
  <c r="P96" i="17" s="1"/>
  <c r="N96" i="17"/>
  <c r="O100" i="17"/>
  <c r="P100" i="17" s="1"/>
  <c r="N100" i="17"/>
  <c r="O108" i="17"/>
  <c r="P108" i="17" s="1"/>
  <c r="N108" i="17"/>
  <c r="O120" i="17"/>
  <c r="P120" i="17" s="1"/>
  <c r="N120" i="17"/>
  <c r="O128" i="17"/>
  <c r="P128" i="17" s="1"/>
  <c r="N128" i="17"/>
  <c r="O132" i="17"/>
  <c r="P132" i="17" s="1"/>
  <c r="N132" i="17"/>
  <c r="O140" i="17"/>
  <c r="P140" i="17" s="1"/>
  <c r="N140" i="17"/>
  <c r="O152" i="17"/>
  <c r="P152" i="17" s="1"/>
  <c r="N152" i="17"/>
  <c r="O91" i="17"/>
  <c r="P91" i="17" s="1"/>
  <c r="N91" i="17"/>
  <c r="O95" i="17"/>
  <c r="P95" i="17" s="1"/>
  <c r="N95" i="17"/>
  <c r="O99" i="17"/>
  <c r="P99" i="17" s="1"/>
  <c r="N99" i="17"/>
  <c r="O103" i="17"/>
  <c r="P103" i="17" s="1"/>
  <c r="N103" i="17"/>
  <c r="O107" i="17"/>
  <c r="P107" i="17" s="1"/>
  <c r="N107" i="17"/>
  <c r="O111" i="17"/>
  <c r="P111" i="17" s="1"/>
  <c r="N111" i="17"/>
  <c r="O115" i="17"/>
  <c r="P115" i="17" s="1"/>
  <c r="N115" i="17"/>
  <c r="O119" i="17"/>
  <c r="P119" i="17" s="1"/>
  <c r="N119" i="17"/>
  <c r="O123" i="17"/>
  <c r="P123" i="17" s="1"/>
  <c r="N123" i="17"/>
  <c r="O127" i="17"/>
  <c r="P127" i="17" s="1"/>
  <c r="N127" i="17"/>
  <c r="O131" i="17"/>
  <c r="P131" i="17" s="1"/>
  <c r="N131" i="17"/>
  <c r="O135" i="17"/>
  <c r="P135" i="17" s="1"/>
  <c r="N135" i="17"/>
  <c r="O139" i="17"/>
  <c r="P139" i="17" s="1"/>
  <c r="N139" i="17"/>
  <c r="O143" i="17"/>
  <c r="P143" i="17" s="1"/>
  <c r="N143" i="17"/>
  <c r="O147" i="17"/>
  <c r="P147" i="17" s="1"/>
  <c r="N147" i="17"/>
  <c r="O151" i="17"/>
  <c r="P151" i="17" s="1"/>
  <c r="N151" i="17"/>
  <c r="N154" i="17"/>
  <c r="O154" i="17"/>
  <c r="P154" i="17" s="1"/>
  <c r="O175" i="17"/>
  <c r="P175" i="17" s="1"/>
  <c r="N175" i="17"/>
  <c r="O191" i="17"/>
  <c r="P191" i="17" s="1"/>
  <c r="N191" i="17"/>
  <c r="O207" i="17"/>
  <c r="P207" i="17" s="1"/>
  <c r="N207" i="17"/>
  <c r="O223" i="17"/>
  <c r="P223" i="17" s="1"/>
  <c r="N223" i="17"/>
  <c r="N157" i="17"/>
  <c r="O157" i="17"/>
  <c r="P157" i="17" s="1"/>
  <c r="N162" i="17"/>
  <c r="O162" i="17"/>
  <c r="P162" i="17" s="1"/>
  <c r="N156" i="17"/>
  <c r="O156" i="17"/>
  <c r="P156" i="17" s="1"/>
  <c r="N158" i="17"/>
  <c r="O158" i="17"/>
  <c r="P158" i="17" s="1"/>
  <c r="O171" i="17"/>
  <c r="P171" i="17" s="1"/>
  <c r="N171" i="17"/>
  <c r="O179" i="17"/>
  <c r="P179" i="17" s="1"/>
  <c r="N179" i="17"/>
  <c r="O187" i="17"/>
  <c r="P187" i="17" s="1"/>
  <c r="N187" i="17"/>
  <c r="O195" i="17"/>
  <c r="P195" i="17" s="1"/>
  <c r="N195" i="17"/>
  <c r="O203" i="17"/>
  <c r="P203" i="17" s="1"/>
  <c r="N203" i="17"/>
  <c r="O211" i="17"/>
  <c r="P211" i="17" s="1"/>
  <c r="N211" i="17"/>
  <c r="O219" i="17"/>
  <c r="P219" i="17" s="1"/>
  <c r="N219" i="17"/>
  <c r="O227" i="17"/>
  <c r="P227" i="17" s="1"/>
  <c r="N227" i="17"/>
  <c r="O167" i="17"/>
  <c r="P167" i="17" s="1"/>
  <c r="N167" i="17"/>
  <c r="O183" i="17"/>
  <c r="P183" i="17" s="1"/>
  <c r="N183" i="17"/>
  <c r="O199" i="17"/>
  <c r="P199" i="17" s="1"/>
  <c r="N199" i="17"/>
  <c r="O215" i="17"/>
  <c r="P215" i="17" s="1"/>
  <c r="N215" i="17"/>
  <c r="N153" i="17"/>
  <c r="O153" i="17"/>
  <c r="P153" i="17" s="1"/>
  <c r="N160" i="17"/>
  <c r="O160" i="17"/>
  <c r="P160" i="17" s="1"/>
  <c r="N164" i="17"/>
  <c r="O164" i="17"/>
  <c r="P164" i="17" s="1"/>
  <c r="N155" i="17"/>
  <c r="O155" i="17"/>
  <c r="P155" i="17" s="1"/>
  <c r="N159" i="17"/>
  <c r="O159" i="17"/>
  <c r="P159" i="17" s="1"/>
  <c r="N161" i="17"/>
  <c r="O161" i="17"/>
  <c r="P161" i="17" s="1"/>
  <c r="N163" i="17"/>
  <c r="O163" i="17"/>
  <c r="P163" i="17" s="1"/>
  <c r="N165" i="17"/>
  <c r="O165" i="17"/>
  <c r="P165" i="17" s="1"/>
  <c r="O166" i="17"/>
  <c r="P166" i="17" s="1"/>
  <c r="N166" i="17"/>
  <c r="O170" i="17"/>
  <c r="P170" i="17" s="1"/>
  <c r="N170" i="17"/>
  <c r="O174" i="17"/>
  <c r="P174" i="17" s="1"/>
  <c r="N174" i="17"/>
  <c r="O178" i="17"/>
  <c r="P178" i="17" s="1"/>
  <c r="N178" i="17"/>
  <c r="O182" i="17"/>
  <c r="P182" i="17" s="1"/>
  <c r="N182" i="17"/>
  <c r="O186" i="17"/>
  <c r="P186" i="17" s="1"/>
  <c r="N186" i="17"/>
  <c r="O190" i="17"/>
  <c r="P190" i="17" s="1"/>
  <c r="N190" i="17"/>
  <c r="O194" i="17"/>
  <c r="P194" i="17" s="1"/>
  <c r="N194" i="17"/>
  <c r="O198" i="17"/>
  <c r="P198" i="17" s="1"/>
  <c r="N198" i="17"/>
  <c r="O202" i="17"/>
  <c r="P202" i="17" s="1"/>
  <c r="N202" i="17"/>
  <c r="O206" i="17"/>
  <c r="P206" i="17" s="1"/>
  <c r="N206" i="17"/>
  <c r="O210" i="17"/>
  <c r="P210" i="17" s="1"/>
  <c r="N210" i="17"/>
  <c r="O214" i="17"/>
  <c r="P214" i="17" s="1"/>
  <c r="N214" i="17"/>
  <c r="O218" i="17"/>
  <c r="P218" i="17" s="1"/>
  <c r="N218" i="17"/>
  <c r="O222" i="17"/>
  <c r="P222" i="17" s="1"/>
  <c r="N222" i="17"/>
  <c r="O226" i="17"/>
  <c r="P226" i="17" s="1"/>
  <c r="N226" i="17"/>
  <c r="O169" i="17"/>
  <c r="P169" i="17" s="1"/>
  <c r="N169" i="17"/>
  <c r="O173" i="17"/>
  <c r="P173" i="17" s="1"/>
  <c r="N173" i="17"/>
  <c r="O177" i="17"/>
  <c r="P177" i="17" s="1"/>
  <c r="N177" i="17"/>
  <c r="O181" i="17"/>
  <c r="P181" i="17" s="1"/>
  <c r="N181" i="17"/>
  <c r="O185" i="17"/>
  <c r="P185" i="17" s="1"/>
  <c r="N185" i="17"/>
  <c r="O189" i="17"/>
  <c r="P189" i="17" s="1"/>
  <c r="N189" i="17"/>
  <c r="O193" i="17"/>
  <c r="P193" i="17" s="1"/>
  <c r="N193" i="17"/>
  <c r="O197" i="17"/>
  <c r="P197" i="17" s="1"/>
  <c r="N197" i="17"/>
  <c r="O201" i="17"/>
  <c r="P201" i="17" s="1"/>
  <c r="N201" i="17"/>
  <c r="O205" i="17"/>
  <c r="P205" i="17" s="1"/>
  <c r="N205" i="17"/>
  <c r="O209" i="17"/>
  <c r="P209" i="17" s="1"/>
  <c r="N209" i="17"/>
  <c r="O213" i="17"/>
  <c r="P213" i="17" s="1"/>
  <c r="N213" i="17"/>
  <c r="O217" i="17"/>
  <c r="P217" i="17" s="1"/>
  <c r="N217" i="17"/>
  <c r="O221" i="17"/>
  <c r="P221" i="17" s="1"/>
  <c r="N221" i="17"/>
  <c r="O225" i="17"/>
  <c r="P225" i="17" s="1"/>
  <c r="N225" i="17"/>
  <c r="O229" i="17"/>
  <c r="P229" i="17" s="1"/>
  <c r="N229" i="17"/>
  <c r="O168" i="17"/>
  <c r="P168" i="17" s="1"/>
  <c r="N168" i="17"/>
  <c r="O172" i="17"/>
  <c r="P172" i="17" s="1"/>
  <c r="N172" i="17"/>
  <c r="O176" i="17"/>
  <c r="P176" i="17" s="1"/>
  <c r="N176" i="17"/>
  <c r="O180" i="17"/>
  <c r="P180" i="17" s="1"/>
  <c r="N180" i="17"/>
  <c r="O184" i="17"/>
  <c r="P184" i="17" s="1"/>
  <c r="N184" i="17"/>
  <c r="O188" i="17"/>
  <c r="P188" i="17" s="1"/>
  <c r="N188" i="17"/>
  <c r="O192" i="17"/>
  <c r="P192" i="17" s="1"/>
  <c r="N192" i="17"/>
  <c r="O196" i="17"/>
  <c r="P196" i="17" s="1"/>
  <c r="N196" i="17"/>
  <c r="O200" i="17"/>
  <c r="P200" i="17" s="1"/>
  <c r="N200" i="17"/>
  <c r="O204" i="17"/>
  <c r="P204" i="17" s="1"/>
  <c r="N204" i="17"/>
  <c r="O208" i="17"/>
  <c r="P208" i="17" s="1"/>
  <c r="N208" i="17"/>
  <c r="O212" i="17"/>
  <c r="P212" i="17" s="1"/>
  <c r="N212" i="17"/>
  <c r="O216" i="17"/>
  <c r="P216" i="17" s="1"/>
  <c r="N216" i="17"/>
  <c r="O220" i="17"/>
  <c r="P220" i="17" s="1"/>
  <c r="N220" i="17"/>
  <c r="O224" i="17"/>
  <c r="P224" i="17" s="1"/>
  <c r="N224" i="17"/>
  <c r="O228" i="17"/>
  <c r="P228" i="17" s="1"/>
  <c r="N228" i="17"/>
  <c r="O248" i="17"/>
  <c r="P248" i="17" s="1"/>
  <c r="N248" i="17"/>
  <c r="O256" i="17"/>
  <c r="P256" i="17" s="1"/>
  <c r="N256" i="17"/>
  <c r="O264" i="17"/>
  <c r="P264" i="17" s="1"/>
  <c r="N264" i="17"/>
  <c r="O244" i="17"/>
  <c r="P244" i="17" s="1"/>
  <c r="N244" i="17"/>
  <c r="O252" i="17"/>
  <c r="P252" i="17" s="1"/>
  <c r="N252" i="17"/>
  <c r="O260" i="17"/>
  <c r="P260" i="17" s="1"/>
  <c r="N260" i="17"/>
  <c r="O268" i="17"/>
  <c r="P268" i="17" s="1"/>
  <c r="N268" i="17"/>
  <c r="O272" i="17"/>
  <c r="P272" i="17" s="1"/>
  <c r="N272" i="17"/>
  <c r="O276" i="17"/>
  <c r="P276" i="17" s="1"/>
  <c r="N276" i="17"/>
  <c r="O280" i="17"/>
  <c r="P280" i="17" s="1"/>
  <c r="N280" i="17"/>
  <c r="O284" i="17"/>
  <c r="P284" i="17" s="1"/>
  <c r="N284" i="17"/>
  <c r="O292" i="17"/>
  <c r="P292" i="17" s="1"/>
  <c r="N292" i="17"/>
  <c r="O300" i="17"/>
  <c r="P300" i="17" s="1"/>
  <c r="N300" i="17"/>
  <c r="O247" i="17"/>
  <c r="P247" i="17" s="1"/>
  <c r="N247" i="17"/>
  <c r="O251" i="17"/>
  <c r="P251" i="17" s="1"/>
  <c r="N251" i="17"/>
  <c r="O259" i="17"/>
  <c r="P259" i="17" s="1"/>
  <c r="N259" i="17"/>
  <c r="O263" i="17"/>
  <c r="P263" i="17" s="1"/>
  <c r="N263" i="17"/>
  <c r="O267" i="17"/>
  <c r="P267" i="17" s="1"/>
  <c r="N267" i="17"/>
  <c r="O275" i="17"/>
  <c r="P275" i="17" s="1"/>
  <c r="N275" i="17"/>
  <c r="O279" i="17"/>
  <c r="P279" i="17" s="1"/>
  <c r="N279" i="17"/>
  <c r="O283" i="17"/>
  <c r="P283" i="17" s="1"/>
  <c r="N283" i="17"/>
  <c r="O291" i="17"/>
  <c r="P291" i="17" s="1"/>
  <c r="N291" i="17"/>
  <c r="O295" i="17"/>
  <c r="P295" i="17" s="1"/>
  <c r="N295" i="17"/>
  <c r="O246" i="17"/>
  <c r="P246" i="17" s="1"/>
  <c r="N246" i="17"/>
  <c r="O250" i="17"/>
  <c r="P250" i="17" s="1"/>
  <c r="N250" i="17"/>
  <c r="O254" i="17"/>
  <c r="P254" i="17" s="1"/>
  <c r="N254" i="17"/>
  <c r="O258" i="17"/>
  <c r="P258" i="17" s="1"/>
  <c r="N258" i="17"/>
  <c r="O262" i="17"/>
  <c r="P262" i="17" s="1"/>
  <c r="N262" i="17"/>
  <c r="O266" i="17"/>
  <c r="P266" i="17" s="1"/>
  <c r="N266" i="17"/>
  <c r="O270" i="17"/>
  <c r="P270" i="17" s="1"/>
  <c r="N270" i="17"/>
  <c r="O274" i="17"/>
  <c r="P274" i="17" s="1"/>
  <c r="N274" i="17"/>
  <c r="O278" i="17"/>
  <c r="P278" i="17" s="1"/>
  <c r="N278" i="17"/>
  <c r="O282" i="17"/>
  <c r="P282" i="17" s="1"/>
  <c r="N282" i="17"/>
  <c r="O286" i="17"/>
  <c r="P286" i="17" s="1"/>
  <c r="N286" i="17"/>
  <c r="O290" i="17"/>
  <c r="P290" i="17" s="1"/>
  <c r="N290" i="17"/>
  <c r="O294" i="17"/>
  <c r="P294" i="17" s="1"/>
  <c r="N294" i="17"/>
  <c r="O298" i="17"/>
  <c r="P298" i="17" s="1"/>
  <c r="N298" i="17"/>
  <c r="O302" i="17"/>
  <c r="P302" i="17" s="1"/>
  <c r="N302" i="17"/>
  <c r="O306" i="17"/>
  <c r="P306" i="17" s="1"/>
  <c r="N306" i="17"/>
  <c r="O288" i="17"/>
  <c r="P288" i="17" s="1"/>
  <c r="N288" i="17"/>
  <c r="O296" i="17"/>
  <c r="P296" i="17" s="1"/>
  <c r="N296" i="17"/>
  <c r="O304" i="17"/>
  <c r="P304" i="17" s="1"/>
  <c r="N304" i="17"/>
  <c r="O243" i="17"/>
  <c r="P243" i="17" s="1"/>
  <c r="N243" i="17"/>
  <c r="O255" i="17"/>
  <c r="P255" i="17" s="1"/>
  <c r="N255" i="17"/>
  <c r="O271" i="17"/>
  <c r="P271" i="17" s="1"/>
  <c r="N271" i="17"/>
  <c r="O287" i="17"/>
  <c r="P287" i="17" s="1"/>
  <c r="N287" i="17"/>
  <c r="O299" i="17"/>
  <c r="P299" i="17" s="1"/>
  <c r="N299" i="17"/>
  <c r="O303" i="17"/>
  <c r="P303" i="17" s="1"/>
  <c r="N303" i="17"/>
  <c r="O245" i="17"/>
  <c r="P245" i="17" s="1"/>
  <c r="N245" i="17"/>
  <c r="O249" i="17"/>
  <c r="P249" i="17" s="1"/>
  <c r="N249" i="17"/>
  <c r="O253" i="17"/>
  <c r="P253" i="17" s="1"/>
  <c r="N253" i="17"/>
  <c r="O257" i="17"/>
  <c r="P257" i="17" s="1"/>
  <c r="N257" i="17"/>
  <c r="O261" i="17"/>
  <c r="P261" i="17" s="1"/>
  <c r="N261" i="17"/>
  <c r="O265" i="17"/>
  <c r="P265" i="17" s="1"/>
  <c r="N265" i="17"/>
  <c r="O269" i="17"/>
  <c r="P269" i="17" s="1"/>
  <c r="N269" i="17"/>
  <c r="O273" i="17"/>
  <c r="P273" i="17" s="1"/>
  <c r="N273" i="17"/>
  <c r="O277" i="17"/>
  <c r="P277" i="17" s="1"/>
  <c r="N277" i="17"/>
  <c r="O281" i="17"/>
  <c r="P281" i="17" s="1"/>
  <c r="N281" i="17"/>
  <c r="O285" i="17"/>
  <c r="P285" i="17" s="1"/>
  <c r="N285" i="17"/>
  <c r="O289" i="17"/>
  <c r="P289" i="17" s="1"/>
  <c r="N289" i="17"/>
  <c r="O293" i="17"/>
  <c r="P293" i="17" s="1"/>
  <c r="N293" i="17"/>
  <c r="O297" i="17"/>
  <c r="P297" i="17" s="1"/>
  <c r="N297" i="17"/>
  <c r="O301" i="17"/>
  <c r="P301" i="17" s="1"/>
  <c r="N301" i="17"/>
  <c r="O305" i="17"/>
  <c r="P305" i="17" s="1"/>
  <c r="N305" i="17"/>
  <c r="O321" i="17"/>
  <c r="P321" i="17" s="1"/>
  <c r="N321" i="17"/>
  <c r="O329" i="17"/>
  <c r="P329" i="17" s="1"/>
  <c r="N329" i="17"/>
  <c r="O337" i="17"/>
  <c r="P337" i="17" s="1"/>
  <c r="N337" i="17"/>
  <c r="O345" i="17"/>
  <c r="P345" i="17" s="1"/>
  <c r="N345" i="17"/>
  <c r="O353" i="17"/>
  <c r="P353" i="17" s="1"/>
  <c r="N353" i="17"/>
  <c r="O361" i="17"/>
  <c r="P361" i="17" s="1"/>
  <c r="N361" i="17"/>
  <c r="O369" i="17"/>
  <c r="P369" i="17" s="1"/>
  <c r="N369" i="17"/>
  <c r="O373" i="17"/>
  <c r="P373" i="17" s="1"/>
  <c r="N373" i="17"/>
  <c r="O377" i="17"/>
  <c r="P377" i="17" s="1"/>
  <c r="N377" i="17"/>
  <c r="O323" i="17"/>
  <c r="P323" i="17" s="1"/>
  <c r="N323" i="17"/>
  <c r="O327" i="17"/>
  <c r="P327" i="17" s="1"/>
  <c r="N327" i="17"/>
  <c r="O331" i="17"/>
  <c r="P331" i="17" s="1"/>
  <c r="N331" i="17"/>
  <c r="O335" i="17"/>
  <c r="P335" i="17" s="1"/>
  <c r="N335" i="17"/>
  <c r="O339" i="17"/>
  <c r="P339" i="17" s="1"/>
  <c r="N339" i="17"/>
  <c r="O343" i="17"/>
  <c r="P343" i="17" s="1"/>
  <c r="N343" i="17"/>
  <c r="O347" i="17"/>
  <c r="P347" i="17" s="1"/>
  <c r="N347" i="17"/>
  <c r="O351" i="17"/>
  <c r="P351" i="17" s="1"/>
  <c r="N351" i="17"/>
  <c r="O355" i="17"/>
  <c r="P355" i="17" s="1"/>
  <c r="N355" i="17"/>
  <c r="O359" i="17"/>
  <c r="P359" i="17" s="1"/>
  <c r="N359" i="17"/>
  <c r="O363" i="17"/>
  <c r="P363" i="17" s="1"/>
  <c r="N363" i="17"/>
  <c r="O367" i="17"/>
  <c r="P367" i="17" s="1"/>
  <c r="N367" i="17"/>
  <c r="O371" i="17"/>
  <c r="P371" i="17" s="1"/>
  <c r="N371" i="17"/>
  <c r="O375" i="17"/>
  <c r="P375" i="17" s="1"/>
  <c r="N375" i="17"/>
  <c r="O379" i="17"/>
  <c r="P379" i="17" s="1"/>
  <c r="N379" i="17"/>
  <c r="O383" i="17"/>
  <c r="P383" i="17" s="1"/>
  <c r="N383" i="17"/>
  <c r="O325" i="17"/>
  <c r="P325" i="17" s="1"/>
  <c r="N325" i="17"/>
  <c r="O333" i="17"/>
  <c r="P333" i="17" s="1"/>
  <c r="N333" i="17"/>
  <c r="O341" i="17"/>
  <c r="P341" i="17" s="1"/>
  <c r="N341" i="17"/>
  <c r="O349" i="17"/>
  <c r="P349" i="17" s="1"/>
  <c r="N349" i="17"/>
  <c r="O357" i="17"/>
  <c r="P357" i="17" s="1"/>
  <c r="N357" i="17"/>
  <c r="O365" i="17"/>
  <c r="P365" i="17" s="1"/>
  <c r="N365" i="17"/>
  <c r="O381" i="17"/>
  <c r="P381" i="17" s="1"/>
  <c r="N381" i="17"/>
  <c r="N385" i="17"/>
  <c r="N387" i="17"/>
  <c r="N389" i="17"/>
  <c r="N391" i="17"/>
  <c r="O424" i="17"/>
  <c r="P424" i="17" s="1"/>
  <c r="N424" i="17"/>
  <c r="O428" i="17"/>
  <c r="P428" i="17" s="1"/>
  <c r="N428" i="17"/>
  <c r="O432" i="17"/>
  <c r="P432" i="17" s="1"/>
  <c r="N432" i="17"/>
  <c r="O421" i="17"/>
  <c r="P421" i="17" s="1"/>
  <c r="N421" i="17"/>
  <c r="O423" i="17"/>
  <c r="P423" i="17" s="1"/>
  <c r="N423" i="17"/>
  <c r="O425" i="17"/>
  <c r="P425" i="17" s="1"/>
  <c r="N425" i="17"/>
  <c r="O427" i="17"/>
  <c r="P427" i="17" s="1"/>
  <c r="N427" i="17"/>
  <c r="O429" i="17"/>
  <c r="P429" i="17" s="1"/>
  <c r="N429" i="17"/>
  <c r="O431" i="17"/>
  <c r="P431" i="17" s="1"/>
  <c r="N431" i="17"/>
  <c r="O433" i="17"/>
  <c r="P433" i="17" s="1"/>
  <c r="N433" i="17"/>
  <c r="O435" i="17"/>
  <c r="P435" i="17" s="1"/>
  <c r="N435" i="17"/>
  <c r="O437" i="17"/>
  <c r="P437" i="17" s="1"/>
  <c r="N437" i="17"/>
  <c r="O439" i="17"/>
  <c r="P439" i="17" s="1"/>
  <c r="N439" i="17"/>
  <c r="O422" i="17"/>
  <c r="P422" i="17" s="1"/>
  <c r="N422" i="17"/>
  <c r="O426" i="17"/>
  <c r="P426" i="17" s="1"/>
  <c r="N426" i="17"/>
  <c r="O430" i="17"/>
  <c r="P430" i="17" s="1"/>
  <c r="N430" i="17"/>
  <c r="O434" i="17"/>
  <c r="P434" i="17" s="1"/>
  <c r="N434" i="17"/>
  <c r="O436" i="17"/>
  <c r="P436" i="17" s="1"/>
  <c r="N436" i="17"/>
  <c r="O438" i="17"/>
  <c r="P438" i="17" s="1"/>
  <c r="N438" i="17"/>
  <c r="O440" i="17"/>
  <c r="P440" i="17" s="1"/>
  <c r="N440" i="17"/>
  <c r="N441" i="17"/>
  <c r="N442" i="17"/>
  <c r="N443" i="17"/>
  <c r="N444" i="17"/>
  <c r="N445" i="17"/>
  <c r="N446" i="17"/>
  <c r="N447" i="17"/>
  <c r="N448" i="17"/>
  <c r="N449" i="17"/>
  <c r="N450" i="17"/>
  <c r="N451" i="17"/>
  <c r="N452" i="17"/>
  <c r="N453" i="17"/>
  <c r="N454" i="17"/>
  <c r="N455" i="17"/>
  <c r="N456" i="17"/>
  <c r="N457" i="17"/>
  <c r="N458" i="17"/>
  <c r="N459" i="17"/>
  <c r="N460" i="17"/>
  <c r="N471" i="17"/>
  <c r="N472" i="17"/>
  <c r="N473" i="17"/>
  <c r="N474" i="17"/>
  <c r="N475" i="17"/>
  <c r="N476" i="17"/>
  <c r="N477" i="17"/>
  <c r="N478" i="17"/>
  <c r="N479" i="17"/>
  <c r="N480" i="17"/>
  <c r="N461" i="17"/>
  <c r="N462" i="17"/>
  <c r="N463" i="17"/>
  <c r="N464" i="17"/>
  <c r="N465" i="17"/>
  <c r="N466" i="17"/>
  <c r="N467" i="17"/>
  <c r="N468" i="17"/>
  <c r="N469" i="17"/>
  <c r="N470" i="17"/>
  <c r="O499" i="17"/>
  <c r="P499" i="17" s="1"/>
  <c r="O497" i="17"/>
  <c r="P497" i="17" s="1"/>
  <c r="O495" i="17"/>
  <c r="P495" i="17" s="1"/>
  <c r="O493" i="17"/>
  <c r="P493" i="17" s="1"/>
  <c r="O491" i="17"/>
  <c r="P491" i="17" s="1"/>
  <c r="O498" i="17"/>
  <c r="P498" i="17" s="1"/>
  <c r="O496" i="17"/>
  <c r="P496" i="17" s="1"/>
  <c r="O494" i="17"/>
  <c r="P494" i="17" s="1"/>
  <c r="O492" i="17"/>
  <c r="P492" i="17" s="1"/>
  <c r="O420" i="17"/>
  <c r="P420" i="17" s="1"/>
  <c r="I30" i="45"/>
  <c r="H30" i="45"/>
  <c r="G30" i="45"/>
  <c r="F30" i="45"/>
  <c r="E30" i="45"/>
  <c r="L8" i="44"/>
  <c r="I92" i="44"/>
  <c r="H92" i="44"/>
  <c r="G92" i="44"/>
  <c r="C92" i="44"/>
  <c r="L91" i="44"/>
  <c r="L90" i="44"/>
  <c r="L89" i="44"/>
  <c r="L88" i="44"/>
  <c r="L87" i="44"/>
  <c r="L86" i="44"/>
  <c r="L85" i="44"/>
  <c r="L84" i="44"/>
  <c r="L83" i="44"/>
  <c r="L82" i="44"/>
  <c r="L81" i="44"/>
  <c r="L80" i="44"/>
  <c r="L79" i="44"/>
  <c r="L78" i="44"/>
  <c r="L74" i="44"/>
  <c r="L73" i="44"/>
  <c r="L72" i="44"/>
  <c r="L71" i="44"/>
  <c r="L70" i="44"/>
  <c r="L69" i="44"/>
  <c r="L68" i="44"/>
  <c r="L67" i="44"/>
  <c r="L66" i="44"/>
  <c r="L65" i="44"/>
  <c r="L64" i="44"/>
  <c r="L63" i="44"/>
  <c r="L62" i="44"/>
  <c r="L61" i="44"/>
  <c r="L60" i="44"/>
  <c r="I52" i="44"/>
  <c r="H52" i="44"/>
  <c r="G52" i="44"/>
  <c r="C52" i="44"/>
  <c r="L37" i="44"/>
  <c r="L52" i="44" s="1"/>
  <c r="I34" i="44"/>
  <c r="I75" i="44" s="1"/>
  <c r="H34" i="44"/>
  <c r="H75" i="44" s="1"/>
  <c r="G34" i="44"/>
  <c r="G75" i="44" s="1"/>
  <c r="C34" i="44"/>
  <c r="C75" i="44" s="1"/>
  <c r="N33" i="44"/>
  <c r="L33" i="44"/>
  <c r="L32" i="44"/>
  <c r="L31" i="44"/>
  <c r="L30" i="44"/>
  <c r="N29" i="44"/>
  <c r="L29" i="44"/>
  <c r="L28" i="44"/>
  <c r="N27" i="44"/>
  <c r="L27" i="44"/>
  <c r="L26" i="44"/>
  <c r="N25" i="44"/>
  <c r="L25" i="44"/>
  <c r="L24" i="44"/>
  <c r="L23" i="44"/>
  <c r="L22" i="44"/>
  <c r="L21" i="44"/>
  <c r="L20" i="44"/>
  <c r="L19" i="44"/>
  <c r="N18" i="44"/>
  <c r="L18" i="44"/>
  <c r="L17" i="44"/>
  <c r="L16" i="44"/>
  <c r="L15" i="44"/>
  <c r="L14" i="44"/>
  <c r="L13" i="44"/>
  <c r="L12" i="44"/>
  <c r="L11" i="44"/>
  <c r="L10" i="44"/>
  <c r="L9" i="44"/>
  <c r="L34" i="44" l="1"/>
  <c r="L75" i="44" s="1"/>
  <c r="L92" i="44"/>
  <c r="I155" i="15"/>
  <c r="G155" i="15"/>
  <c r="E155" i="15"/>
  <c r="L17" i="17" l="1"/>
  <c r="L18" i="17"/>
  <c r="L19" i="17"/>
  <c r="C22" i="7"/>
  <c r="G65" i="34" l="1"/>
  <c r="L500" i="17"/>
  <c r="L419" i="17"/>
  <c r="L418" i="17"/>
  <c r="L417" i="17"/>
  <c r="L416" i="17"/>
  <c r="L415" i="17"/>
  <c r="L414" i="17"/>
  <c r="L413" i="17"/>
  <c r="L412" i="17"/>
  <c r="L411" i="17"/>
  <c r="L410" i="17"/>
  <c r="L409" i="17"/>
  <c r="L408" i="17"/>
  <c r="L407" i="17"/>
  <c r="L406" i="17"/>
  <c r="L405" i="17"/>
  <c r="L404" i="17"/>
  <c r="L403" i="17"/>
  <c r="L402" i="17"/>
  <c r="L401" i="17"/>
  <c r="L400" i="17"/>
  <c r="L399" i="17"/>
  <c r="L398" i="17"/>
  <c r="L397"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D17" i="7"/>
  <c r="C17" i="7" s="1"/>
  <c r="E22" i="7"/>
  <c r="S531" i="17"/>
  <c r="T531" i="17"/>
  <c r="U531" i="17"/>
  <c r="V531" i="17"/>
  <c r="W531" i="17"/>
  <c r="X531" i="17"/>
  <c r="Y531" i="17"/>
  <c r="Z531" i="17"/>
  <c r="AA531" i="17"/>
  <c r="AB531" i="17"/>
  <c r="S533" i="17"/>
  <c r="T533" i="17"/>
  <c r="U533" i="17"/>
  <c r="V533" i="17"/>
  <c r="W533" i="17"/>
  <c r="X533" i="17"/>
  <c r="Y533" i="17"/>
  <c r="Z533" i="17"/>
  <c r="AA533" i="17"/>
  <c r="AB533" i="17"/>
  <c r="M66" i="17"/>
  <c r="N66" i="17" s="1"/>
  <c r="M67" i="17"/>
  <c r="O67" i="17" s="1"/>
  <c r="P67" i="17" s="1"/>
  <c r="M68" i="17"/>
  <c r="N68" i="17" s="1"/>
  <c r="M69" i="17"/>
  <c r="N69" i="17" s="1"/>
  <c r="M70" i="17"/>
  <c r="O70" i="17" s="1"/>
  <c r="P70" i="17" s="1"/>
  <c r="M71" i="17"/>
  <c r="O71" i="17" s="1"/>
  <c r="P71" i="17" s="1"/>
  <c r="M72" i="17"/>
  <c r="O72" i="17" s="1"/>
  <c r="P72" i="17" s="1"/>
  <c r="M73" i="17"/>
  <c r="O73" i="17" s="1"/>
  <c r="P73" i="17" s="1"/>
  <c r="M74" i="17"/>
  <c r="O74" i="17" s="1"/>
  <c r="P74" i="17" s="1"/>
  <c r="M75" i="17"/>
  <c r="O75" i="17" s="1"/>
  <c r="P75" i="17" s="1"/>
  <c r="M397" i="17"/>
  <c r="N397" i="17" s="1"/>
  <c r="M398" i="17"/>
  <c r="O398" i="17" s="1"/>
  <c r="P398" i="17" s="1"/>
  <c r="M399" i="17"/>
  <c r="O399" i="17" s="1"/>
  <c r="P399" i="17" s="1"/>
  <c r="M400" i="17"/>
  <c r="O400" i="17" s="1"/>
  <c r="P400" i="17" s="1"/>
  <c r="M401" i="17"/>
  <c r="O401" i="17" s="1"/>
  <c r="P401" i="17" s="1"/>
  <c r="M402" i="17"/>
  <c r="O402" i="17" s="1"/>
  <c r="P402" i="17" s="1"/>
  <c r="M403" i="17"/>
  <c r="O403" i="17" s="1"/>
  <c r="P403" i="17" s="1"/>
  <c r="M404" i="17"/>
  <c r="O404" i="17" s="1"/>
  <c r="P404" i="17" s="1"/>
  <c r="M405" i="17"/>
  <c r="O405" i="17" s="1"/>
  <c r="P405" i="17" s="1"/>
  <c r="M406" i="17"/>
  <c r="O406" i="17" s="1"/>
  <c r="P406" i="17" s="1"/>
  <c r="M407" i="17"/>
  <c r="O407" i="17" s="1"/>
  <c r="P407" i="17" s="1"/>
  <c r="M408" i="17"/>
  <c r="O408" i="17" s="1"/>
  <c r="P408" i="17" s="1"/>
  <c r="M409" i="17"/>
  <c r="O409" i="17" s="1"/>
  <c r="P409" i="17" s="1"/>
  <c r="M410" i="17"/>
  <c r="O410" i="17" s="1"/>
  <c r="P410" i="17" s="1"/>
  <c r="M411" i="17"/>
  <c r="O411" i="17" s="1"/>
  <c r="P411" i="17" s="1"/>
  <c r="M412" i="17"/>
  <c r="O412" i="17" s="1"/>
  <c r="P412" i="17" s="1"/>
  <c r="M413" i="17"/>
  <c r="N413" i="17" s="1"/>
  <c r="M414" i="17"/>
  <c r="O414" i="17" s="1"/>
  <c r="P414" i="17" s="1"/>
  <c r="M415" i="17"/>
  <c r="O415" i="17" s="1"/>
  <c r="P415" i="17" s="1"/>
  <c r="M416" i="17"/>
  <c r="O416" i="17" s="1"/>
  <c r="P416" i="17" s="1"/>
  <c r="M417" i="17"/>
  <c r="N417" i="17" s="1"/>
  <c r="M418" i="17"/>
  <c r="O418" i="17" s="1"/>
  <c r="P418" i="17" s="1"/>
  <c r="M419" i="17"/>
  <c r="O419" i="17" s="1"/>
  <c r="P419" i="17" s="1"/>
  <c r="I66" i="17"/>
  <c r="I67" i="17"/>
  <c r="I68" i="17"/>
  <c r="I69" i="17"/>
  <c r="I70" i="17"/>
  <c r="I71" i="17"/>
  <c r="I72" i="17"/>
  <c r="I73" i="17"/>
  <c r="I74" i="17"/>
  <c r="I75" i="17"/>
  <c r="I397" i="17"/>
  <c r="I398" i="17"/>
  <c r="I399" i="17"/>
  <c r="I400" i="17"/>
  <c r="I401" i="17"/>
  <c r="I402" i="17"/>
  <c r="I403" i="17"/>
  <c r="I404" i="17"/>
  <c r="I405" i="17"/>
  <c r="I406" i="17"/>
  <c r="I407" i="17"/>
  <c r="I408" i="17"/>
  <c r="I409" i="17"/>
  <c r="I410" i="17"/>
  <c r="I411" i="17"/>
  <c r="I412" i="17"/>
  <c r="I413" i="17"/>
  <c r="I414" i="17"/>
  <c r="I415" i="17"/>
  <c r="I416" i="17"/>
  <c r="I417" i="17"/>
  <c r="I418" i="17"/>
  <c r="I419" i="17"/>
  <c r="BV505" i="17"/>
  <c r="BR505" i="17"/>
  <c r="BN505" i="17"/>
  <c r="BJ505" i="17"/>
  <c r="BF505" i="17"/>
  <c r="BB505" i="17"/>
  <c r="AL505" i="17"/>
  <c r="AX505" i="17"/>
  <c r="AT505" i="17"/>
  <c r="AP505" i="17"/>
  <c r="AO507" i="17"/>
  <c r="AR507" i="17"/>
  <c r="AV507" i="17"/>
  <c r="AZ507" i="17"/>
  <c r="BD507" i="17"/>
  <c r="BH507" i="17"/>
  <c r="BL507" i="17"/>
  <c r="BP507" i="17"/>
  <c r="BT507" i="17"/>
  <c r="BX507" i="17"/>
  <c r="S15" i="17"/>
  <c r="S318" i="17" l="1"/>
  <c r="S316" i="17"/>
  <c r="S315" i="17"/>
  <c r="S313" i="17"/>
  <c r="S311" i="17"/>
  <c r="S309" i="17"/>
  <c r="S307" i="17"/>
  <c r="S319" i="17"/>
  <c r="S317" i="17"/>
  <c r="S314" i="17"/>
  <c r="S312" i="17"/>
  <c r="S310" i="17"/>
  <c r="S308" i="17"/>
  <c r="S149" i="17"/>
  <c r="S145" i="17"/>
  <c r="S141" i="17"/>
  <c r="S137" i="17"/>
  <c r="S133" i="17"/>
  <c r="S129" i="17"/>
  <c r="S125" i="17"/>
  <c r="S121" i="17"/>
  <c r="S117" i="17"/>
  <c r="S113" i="17"/>
  <c r="S109" i="17"/>
  <c r="S105" i="17"/>
  <c r="S101" i="17"/>
  <c r="S97" i="17"/>
  <c r="S93" i="17"/>
  <c r="S89" i="17"/>
  <c r="S88" i="17"/>
  <c r="S87" i="17"/>
  <c r="S86" i="17"/>
  <c r="S85" i="17"/>
  <c r="S84" i="17"/>
  <c r="S83" i="17"/>
  <c r="S82" i="17"/>
  <c r="S81" i="17"/>
  <c r="S80" i="17"/>
  <c r="S79" i="17"/>
  <c r="S78" i="17"/>
  <c r="S77" i="17"/>
  <c r="S76" i="17"/>
  <c r="S134" i="17"/>
  <c r="S122" i="17"/>
  <c r="S114" i="17"/>
  <c r="S110" i="17"/>
  <c r="S102" i="17"/>
  <c r="S151" i="17"/>
  <c r="S143" i="17"/>
  <c r="S135" i="17"/>
  <c r="S131" i="17"/>
  <c r="S127" i="17"/>
  <c r="S119" i="17"/>
  <c r="S115" i="17"/>
  <c r="S107" i="17"/>
  <c r="S99" i="17"/>
  <c r="S152" i="17"/>
  <c r="S148" i="17"/>
  <c r="S144" i="17"/>
  <c r="S140" i="17"/>
  <c r="S136" i="17"/>
  <c r="S132" i="17"/>
  <c r="S128" i="17"/>
  <c r="S124" i="17"/>
  <c r="S120" i="17"/>
  <c r="S116" i="17"/>
  <c r="S112" i="17"/>
  <c r="S108" i="17"/>
  <c r="S104" i="17"/>
  <c r="S100" i="17"/>
  <c r="S96" i="17"/>
  <c r="S92" i="17"/>
  <c r="S150" i="17"/>
  <c r="S146" i="17"/>
  <c r="S142" i="17"/>
  <c r="S138" i="17"/>
  <c r="S130" i="17"/>
  <c r="S126" i="17"/>
  <c r="S118" i="17"/>
  <c r="S106" i="17"/>
  <c r="S98" i="17"/>
  <c r="S94" i="17"/>
  <c r="S90" i="17"/>
  <c r="S147" i="17"/>
  <c r="S139" i="17"/>
  <c r="S123" i="17"/>
  <c r="S111" i="17"/>
  <c r="S103" i="17"/>
  <c r="S95" i="17"/>
  <c r="S91" i="17"/>
  <c r="S226" i="17"/>
  <c r="S222" i="17"/>
  <c r="S218" i="17"/>
  <c r="S214" i="17"/>
  <c r="S210" i="17"/>
  <c r="S206" i="17"/>
  <c r="S202" i="17"/>
  <c r="S198" i="17"/>
  <c r="S194" i="17"/>
  <c r="S190" i="17"/>
  <c r="S186" i="17"/>
  <c r="S182" i="17"/>
  <c r="S178" i="17"/>
  <c r="S174" i="17"/>
  <c r="S170" i="17"/>
  <c r="S166" i="17"/>
  <c r="S227" i="17"/>
  <c r="S223" i="17"/>
  <c r="S219" i="17"/>
  <c r="S215" i="17"/>
  <c r="S211" i="17"/>
  <c r="S207" i="17"/>
  <c r="S203" i="17"/>
  <c r="S199" i="17"/>
  <c r="S195" i="17"/>
  <c r="S191" i="17"/>
  <c r="S187" i="17"/>
  <c r="S183" i="17"/>
  <c r="S179" i="17"/>
  <c r="S175" i="17"/>
  <c r="S171" i="17"/>
  <c r="S167" i="17"/>
  <c r="S228" i="17"/>
  <c r="S224" i="17"/>
  <c r="S220" i="17"/>
  <c r="S216" i="17"/>
  <c r="S212" i="17"/>
  <c r="S208" i="17"/>
  <c r="S204" i="17"/>
  <c r="S200" i="17"/>
  <c r="S196" i="17"/>
  <c r="S192" i="17"/>
  <c r="S188" i="17"/>
  <c r="S184" i="17"/>
  <c r="S180" i="17"/>
  <c r="S176" i="17"/>
  <c r="S172" i="17"/>
  <c r="S168" i="17"/>
  <c r="S225" i="17"/>
  <c r="S217" i="17"/>
  <c r="S209" i="17"/>
  <c r="S201" i="17"/>
  <c r="S193" i="17"/>
  <c r="S185" i="17"/>
  <c r="S177" i="17"/>
  <c r="S169" i="17"/>
  <c r="S157" i="17"/>
  <c r="S153" i="17"/>
  <c r="S197" i="17"/>
  <c r="S189" i="17"/>
  <c r="S160" i="17"/>
  <c r="S158" i="17"/>
  <c r="S156" i="17"/>
  <c r="S165" i="17"/>
  <c r="S163" i="17"/>
  <c r="S161" i="17"/>
  <c r="S159" i="17"/>
  <c r="S154" i="17"/>
  <c r="S229" i="17"/>
  <c r="S221" i="17"/>
  <c r="S213" i="17"/>
  <c r="S205" i="17"/>
  <c r="S181" i="17"/>
  <c r="S173" i="17"/>
  <c r="S155" i="17"/>
  <c r="S164" i="17"/>
  <c r="S162" i="17"/>
  <c r="S303" i="17"/>
  <c r="S299" i="17"/>
  <c r="S295" i="17"/>
  <c r="S291" i="17"/>
  <c r="S287" i="17"/>
  <c r="S283" i="17"/>
  <c r="S279" i="17"/>
  <c r="S275" i="17"/>
  <c r="S271" i="17"/>
  <c r="S267" i="17"/>
  <c r="S263" i="17"/>
  <c r="S259" i="17"/>
  <c r="S255" i="17"/>
  <c r="S251" i="17"/>
  <c r="S247" i="17"/>
  <c r="S243" i="17"/>
  <c r="S305" i="17"/>
  <c r="S301" i="17"/>
  <c r="S293" i="17"/>
  <c r="S289" i="17"/>
  <c r="S281" i="17"/>
  <c r="S277" i="17"/>
  <c r="S273" i="17"/>
  <c r="S265" i="17"/>
  <c r="S261" i="17"/>
  <c r="S257" i="17"/>
  <c r="S249" i="17"/>
  <c r="S245" i="17"/>
  <c r="S241" i="17"/>
  <c r="S240" i="17"/>
  <c r="S238" i="17"/>
  <c r="S236" i="17"/>
  <c r="S234" i="17"/>
  <c r="S232" i="17"/>
  <c r="S230" i="17"/>
  <c r="S306" i="17"/>
  <c r="S298" i="17"/>
  <c r="S290" i="17"/>
  <c r="S282" i="17"/>
  <c r="S278" i="17"/>
  <c r="S274" i="17"/>
  <c r="S270" i="17"/>
  <c r="S304" i="17"/>
  <c r="S300" i="17"/>
  <c r="S296" i="17"/>
  <c r="S292" i="17"/>
  <c r="S288" i="17"/>
  <c r="S284" i="17"/>
  <c r="S280" i="17"/>
  <c r="S276" i="17"/>
  <c r="S272" i="17"/>
  <c r="S268" i="17"/>
  <c r="S264" i="17"/>
  <c r="S260" i="17"/>
  <c r="S256" i="17"/>
  <c r="S252" i="17"/>
  <c r="S248" i="17"/>
  <c r="S244" i="17"/>
  <c r="S297" i="17"/>
  <c r="S285" i="17"/>
  <c r="S269" i="17"/>
  <c r="S253" i="17"/>
  <c r="S242" i="17"/>
  <c r="S239" i="17"/>
  <c r="S237" i="17"/>
  <c r="S235" i="17"/>
  <c r="S233" i="17"/>
  <c r="S231" i="17"/>
  <c r="S302" i="17"/>
  <c r="S294" i="17"/>
  <c r="S286" i="17"/>
  <c r="S246" i="17"/>
  <c r="S266" i="17"/>
  <c r="S258" i="17"/>
  <c r="S250" i="17"/>
  <c r="S262" i="17"/>
  <c r="S254" i="17"/>
  <c r="S396" i="17"/>
  <c r="S395" i="17"/>
  <c r="S394" i="17"/>
  <c r="S393" i="17"/>
  <c r="S392" i="17"/>
  <c r="S391" i="17"/>
  <c r="S389" i="17"/>
  <c r="S387" i="17"/>
  <c r="S385" i="17"/>
  <c r="S383" i="17"/>
  <c r="S381" i="17"/>
  <c r="S379" i="17"/>
  <c r="S377" i="17"/>
  <c r="S375" i="17"/>
  <c r="S373" i="17"/>
  <c r="S371" i="17"/>
  <c r="S369" i="17"/>
  <c r="S367" i="17"/>
  <c r="S363" i="17"/>
  <c r="S361" i="17"/>
  <c r="S357" i="17"/>
  <c r="S353" i="17"/>
  <c r="S351" i="17"/>
  <c r="S347" i="17"/>
  <c r="S343" i="17"/>
  <c r="S339" i="17"/>
  <c r="S335" i="17"/>
  <c r="S331" i="17"/>
  <c r="S329" i="17"/>
  <c r="S325" i="17"/>
  <c r="S321" i="17"/>
  <c r="S365" i="17"/>
  <c r="S359" i="17"/>
  <c r="S355" i="17"/>
  <c r="S349" i="17"/>
  <c r="S345" i="17"/>
  <c r="S341" i="17"/>
  <c r="S337" i="17"/>
  <c r="S333" i="17"/>
  <c r="S327" i="17"/>
  <c r="S323" i="17"/>
  <c r="S390" i="17"/>
  <c r="S388" i="17"/>
  <c r="S386" i="17"/>
  <c r="S384" i="17"/>
  <c r="S368" i="17"/>
  <c r="S360" i="17"/>
  <c r="S352" i="17"/>
  <c r="S344" i="17"/>
  <c r="S336" i="17"/>
  <c r="S328" i="17"/>
  <c r="S320" i="17"/>
  <c r="S382" i="17"/>
  <c r="S378" i="17"/>
  <c r="S374" i="17"/>
  <c r="S370" i="17"/>
  <c r="S366" i="17"/>
  <c r="S362" i="17"/>
  <c r="S358" i="17"/>
  <c r="S354" i="17"/>
  <c r="S350" i="17"/>
  <c r="S346" i="17"/>
  <c r="S342" i="17"/>
  <c r="S338" i="17"/>
  <c r="S334" i="17"/>
  <c r="S330" i="17"/>
  <c r="S326" i="17"/>
  <c r="S322" i="17"/>
  <c r="S380" i="17"/>
  <c r="S376" i="17"/>
  <c r="S372" i="17"/>
  <c r="S364" i="17"/>
  <c r="S356" i="17"/>
  <c r="S348" i="17"/>
  <c r="S340" i="17"/>
  <c r="S332" i="17"/>
  <c r="S324" i="17"/>
  <c r="S459" i="17"/>
  <c r="S457" i="17"/>
  <c r="S456" i="17"/>
  <c r="S454" i="17"/>
  <c r="S452" i="17"/>
  <c r="S450" i="17"/>
  <c r="S448" i="17"/>
  <c r="S446" i="17"/>
  <c r="S445" i="17"/>
  <c r="S443" i="17"/>
  <c r="S441" i="17"/>
  <c r="S460" i="17"/>
  <c r="S458" i="17"/>
  <c r="S455" i="17"/>
  <c r="S453" i="17"/>
  <c r="S451" i="17"/>
  <c r="S449" i="17"/>
  <c r="S447" i="17"/>
  <c r="S444" i="17"/>
  <c r="S442" i="17"/>
  <c r="S439" i="17"/>
  <c r="S437" i="17"/>
  <c r="S435" i="17"/>
  <c r="S433" i="17"/>
  <c r="S431" i="17"/>
  <c r="S429" i="17"/>
  <c r="S427" i="17"/>
  <c r="S425" i="17"/>
  <c r="S423" i="17"/>
  <c r="S421" i="17"/>
  <c r="S440" i="17"/>
  <c r="S428" i="17"/>
  <c r="S426" i="17"/>
  <c r="S424" i="17"/>
  <c r="S422" i="17"/>
  <c r="S438" i="17"/>
  <c r="S436" i="17"/>
  <c r="S434" i="17"/>
  <c r="S432" i="17"/>
  <c r="S430" i="17"/>
  <c r="S470" i="17"/>
  <c r="S467" i="17"/>
  <c r="S465" i="17"/>
  <c r="S463" i="17"/>
  <c r="S461" i="17"/>
  <c r="S469" i="17"/>
  <c r="S468" i="17"/>
  <c r="S466" i="17"/>
  <c r="S464" i="17"/>
  <c r="S462" i="17"/>
  <c r="S477" i="17"/>
  <c r="S475" i="17"/>
  <c r="S473" i="17"/>
  <c r="S472" i="17"/>
  <c r="S480" i="17"/>
  <c r="S479" i="17"/>
  <c r="S478" i="17"/>
  <c r="S476" i="17"/>
  <c r="S474" i="17"/>
  <c r="S471" i="17"/>
  <c r="S55" i="17"/>
  <c r="S493" i="17"/>
  <c r="S525" i="17" s="1"/>
  <c r="S495" i="17"/>
  <c r="S489" i="17"/>
  <c r="S488" i="17"/>
  <c r="S486" i="17"/>
  <c r="S484" i="17"/>
  <c r="S482" i="17"/>
  <c r="S420" i="17"/>
  <c r="S492" i="17"/>
  <c r="S496" i="17"/>
  <c r="S498" i="17"/>
  <c r="S491" i="17"/>
  <c r="S497" i="17"/>
  <c r="S499" i="17"/>
  <c r="S490" i="17"/>
  <c r="S487" i="17"/>
  <c r="S485" i="17"/>
  <c r="S483" i="17"/>
  <c r="S481" i="17"/>
  <c r="S494" i="17"/>
  <c r="S23" i="17"/>
  <c r="S31" i="17"/>
  <c r="S39" i="17"/>
  <c r="S47" i="17"/>
  <c r="S419" i="17"/>
  <c r="S417" i="17"/>
  <c r="S415" i="17"/>
  <c r="S413" i="17"/>
  <c r="S411" i="17"/>
  <c r="S409" i="17"/>
  <c r="S407" i="17"/>
  <c r="S405" i="17"/>
  <c r="S403" i="17"/>
  <c r="S401" i="17"/>
  <c r="S399" i="17"/>
  <c r="S397" i="17"/>
  <c r="S74" i="17"/>
  <c r="S72" i="17"/>
  <c r="S70" i="17"/>
  <c r="S68" i="17"/>
  <c r="S66" i="17"/>
  <c r="S64" i="17"/>
  <c r="S62" i="17"/>
  <c r="S60" i="17"/>
  <c r="S58" i="17"/>
  <c r="S56" i="17"/>
  <c r="S54" i="17"/>
  <c r="S52" i="17"/>
  <c r="S50" i="17"/>
  <c r="S48" i="17"/>
  <c r="S46" i="17"/>
  <c r="S44" i="17"/>
  <c r="S42" i="17"/>
  <c r="S40" i="17"/>
  <c r="S38" i="17"/>
  <c r="S36" i="17"/>
  <c r="S34" i="17"/>
  <c r="S32" i="17"/>
  <c r="S30" i="17"/>
  <c r="S28" i="17"/>
  <c r="S26" i="17"/>
  <c r="S24" i="17"/>
  <c r="S22" i="17"/>
  <c r="S20" i="17"/>
  <c r="S500" i="17"/>
  <c r="S412" i="17"/>
  <c r="S408" i="17"/>
  <c r="S404" i="17"/>
  <c r="S400" i="17"/>
  <c r="S398" i="17"/>
  <c r="S73" i="17"/>
  <c r="S69" i="17"/>
  <c r="S65" i="17"/>
  <c r="S18" i="17"/>
  <c r="S418" i="17"/>
  <c r="S416" i="17"/>
  <c r="S414" i="17"/>
  <c r="S410" i="17"/>
  <c r="S406" i="17"/>
  <c r="S402" i="17"/>
  <c r="S75" i="17"/>
  <c r="S71" i="17"/>
  <c r="S67" i="17"/>
  <c r="S63" i="17"/>
  <c r="S19" i="17"/>
  <c r="S27" i="17"/>
  <c r="S35" i="17"/>
  <c r="S43" i="17"/>
  <c r="S51" i="17"/>
  <c r="S59" i="17"/>
  <c r="S21" i="17"/>
  <c r="S25" i="17"/>
  <c r="S29" i="17"/>
  <c r="S33" i="17"/>
  <c r="S37" i="17"/>
  <c r="S41" i="17"/>
  <c r="S45" i="17"/>
  <c r="S49" i="17"/>
  <c r="S53" i="17"/>
  <c r="S57" i="17"/>
  <c r="S61" i="17"/>
  <c r="S17" i="17"/>
  <c r="O413" i="17"/>
  <c r="P413" i="17" s="1"/>
  <c r="O417" i="17"/>
  <c r="P417" i="17" s="1"/>
  <c r="N401" i="17"/>
  <c r="O397" i="17"/>
  <c r="P397" i="17" s="1"/>
  <c r="N405" i="17"/>
  <c r="N409" i="17"/>
  <c r="N72" i="17"/>
  <c r="O68" i="17"/>
  <c r="P68" i="17" s="1"/>
  <c r="N67" i="17"/>
  <c r="N418" i="17"/>
  <c r="N414" i="17"/>
  <c r="N410" i="17"/>
  <c r="N406" i="17"/>
  <c r="N402" i="17"/>
  <c r="N398" i="17"/>
  <c r="N73" i="17"/>
  <c r="O69" i="17"/>
  <c r="P69" i="17" s="1"/>
  <c r="N419" i="17"/>
  <c r="N415" i="17"/>
  <c r="N411" i="17"/>
  <c r="N407" i="17"/>
  <c r="N403" i="17"/>
  <c r="N399" i="17"/>
  <c r="N74" i="17"/>
  <c r="N70" i="17"/>
  <c r="O66" i="17"/>
  <c r="P66" i="17" s="1"/>
  <c r="N416" i="17"/>
  <c r="N412" i="17"/>
  <c r="N408" i="17"/>
  <c r="N404" i="17"/>
  <c r="N400" i="17"/>
  <c r="N75" i="17"/>
  <c r="N71" i="17"/>
  <c r="Y15" i="17"/>
  <c r="S505" i="17"/>
  <c r="X15" i="17"/>
  <c r="U15" i="17"/>
  <c r="T15" i="17"/>
  <c r="AB15" i="17"/>
  <c r="AA15" i="17"/>
  <c r="V15" i="17"/>
  <c r="W15" i="17"/>
  <c r="Z15" i="17"/>
  <c r="I17" i="7"/>
  <c r="G17" i="7"/>
  <c r="S526" i="17" l="1"/>
  <c r="U319" i="17"/>
  <c r="U318" i="17"/>
  <c r="U317" i="17"/>
  <c r="U316" i="17"/>
  <c r="U315" i="17"/>
  <c r="U314" i="17"/>
  <c r="U313" i="17"/>
  <c r="U312" i="17"/>
  <c r="U311" i="17"/>
  <c r="U310" i="17"/>
  <c r="U309" i="17"/>
  <c r="U308" i="17"/>
  <c r="U307" i="17"/>
  <c r="Z319" i="17"/>
  <c r="Z318" i="17"/>
  <c r="Z317" i="17"/>
  <c r="Z316" i="17"/>
  <c r="Z315" i="17"/>
  <c r="Z314" i="17"/>
  <c r="Z313" i="17"/>
  <c r="Z312" i="17"/>
  <c r="Z311" i="17"/>
  <c r="Z310" i="17"/>
  <c r="Z309" i="17"/>
  <c r="Z308" i="17"/>
  <c r="Z307" i="17"/>
  <c r="AB317" i="17"/>
  <c r="AB314" i="17"/>
  <c r="AB311" i="17"/>
  <c r="AB309" i="17"/>
  <c r="AB319" i="17"/>
  <c r="AB318" i="17"/>
  <c r="AB316" i="17"/>
  <c r="AB315" i="17"/>
  <c r="AB313" i="17"/>
  <c r="AB312" i="17"/>
  <c r="AB310" i="17"/>
  <c r="AB308" i="17"/>
  <c r="AB307" i="17"/>
  <c r="V319" i="17"/>
  <c r="V318" i="17"/>
  <c r="V317" i="17"/>
  <c r="V316" i="17"/>
  <c r="V315" i="17"/>
  <c r="V314" i="17"/>
  <c r="V313" i="17"/>
  <c r="V312" i="17"/>
  <c r="V311" i="17"/>
  <c r="V310" i="17"/>
  <c r="V309" i="17"/>
  <c r="V308" i="17"/>
  <c r="V307" i="17"/>
  <c r="W319" i="17"/>
  <c r="W318" i="17"/>
  <c r="W315" i="17"/>
  <c r="W313" i="17"/>
  <c r="W311" i="17"/>
  <c r="W309" i="17"/>
  <c r="W307" i="17"/>
  <c r="W317" i="17"/>
  <c r="W316" i="17"/>
  <c r="W314" i="17"/>
  <c r="W312" i="17"/>
  <c r="W310" i="17"/>
  <c r="W308" i="17"/>
  <c r="T319" i="17"/>
  <c r="T317" i="17"/>
  <c r="T315" i="17"/>
  <c r="T312" i="17"/>
  <c r="T310" i="17"/>
  <c r="T307" i="17"/>
  <c r="T318" i="17"/>
  <c r="T316" i="17"/>
  <c r="T314" i="17"/>
  <c r="T313" i="17"/>
  <c r="T311" i="17"/>
  <c r="T309" i="17"/>
  <c r="T308" i="17"/>
  <c r="Y319" i="17"/>
  <c r="Y318" i="17"/>
  <c r="Y317" i="17"/>
  <c r="Y316" i="17"/>
  <c r="Y315" i="17"/>
  <c r="Y314" i="17"/>
  <c r="Y313" i="17"/>
  <c r="Y312" i="17"/>
  <c r="Y311" i="17"/>
  <c r="Y310" i="17"/>
  <c r="Y309" i="17"/>
  <c r="Y308" i="17"/>
  <c r="Y307" i="17"/>
  <c r="AA318" i="17"/>
  <c r="AA316" i="17"/>
  <c r="AA315" i="17"/>
  <c r="AA313" i="17"/>
  <c r="AA311" i="17"/>
  <c r="AA309" i="17"/>
  <c r="AA307" i="17"/>
  <c r="AA319" i="17"/>
  <c r="AA317" i="17"/>
  <c r="AA314" i="17"/>
  <c r="AA312" i="17"/>
  <c r="AA310" i="17"/>
  <c r="AA308" i="17"/>
  <c r="X319" i="17"/>
  <c r="X317" i="17"/>
  <c r="X316" i="17"/>
  <c r="X314" i="17"/>
  <c r="X313" i="17"/>
  <c r="X311" i="17"/>
  <c r="X309" i="17"/>
  <c r="X308" i="17"/>
  <c r="X318" i="17"/>
  <c r="X315" i="17"/>
  <c r="X312" i="17"/>
  <c r="X310" i="17"/>
  <c r="X307" i="17"/>
  <c r="Z150" i="17"/>
  <c r="Z146" i="17"/>
  <c r="Z142" i="17"/>
  <c r="Z138" i="17"/>
  <c r="Z134" i="17"/>
  <c r="Z130" i="17"/>
  <c r="Z126" i="17"/>
  <c r="Z122" i="17"/>
  <c r="Z118" i="17"/>
  <c r="Z114" i="17"/>
  <c r="Z110" i="17"/>
  <c r="Z106" i="17"/>
  <c r="Z102" i="17"/>
  <c r="Z98" i="17"/>
  <c r="Z94" i="17"/>
  <c r="Z90" i="17"/>
  <c r="Z143" i="17"/>
  <c r="Z135" i="17"/>
  <c r="Z123" i="17"/>
  <c r="Z115" i="17"/>
  <c r="Z111" i="17"/>
  <c r="Z103" i="17"/>
  <c r="Z144" i="17"/>
  <c r="Z136" i="17"/>
  <c r="Z132" i="17"/>
  <c r="Z128" i="17"/>
  <c r="Z120" i="17"/>
  <c r="Z116" i="17"/>
  <c r="Z108" i="17"/>
  <c r="Z100" i="17"/>
  <c r="Z149" i="17"/>
  <c r="Z145" i="17"/>
  <c r="Z141" i="17"/>
  <c r="Z137" i="17"/>
  <c r="Z133" i="17"/>
  <c r="Z129" i="17"/>
  <c r="Z125" i="17"/>
  <c r="Z121" i="17"/>
  <c r="Z117" i="17"/>
  <c r="Z113" i="17"/>
  <c r="Z109" i="17"/>
  <c r="Z105" i="17"/>
  <c r="Z101" i="17"/>
  <c r="Z97" i="17"/>
  <c r="Z93" i="17"/>
  <c r="Z89" i="17"/>
  <c r="Z87" i="17"/>
  <c r="Z86" i="17"/>
  <c r="Z85" i="17"/>
  <c r="Z84" i="17"/>
  <c r="Z83" i="17"/>
  <c r="Z82" i="17"/>
  <c r="Z81" i="17"/>
  <c r="Z80" i="17"/>
  <c r="Z79" i="17"/>
  <c r="Z78" i="17"/>
  <c r="Z77" i="17"/>
  <c r="Z76" i="17"/>
  <c r="Z151" i="17"/>
  <c r="Z147" i="17"/>
  <c r="Z139" i="17"/>
  <c r="Z131" i="17"/>
  <c r="Z127" i="17"/>
  <c r="Z119" i="17"/>
  <c r="Z107" i="17"/>
  <c r="Z99" i="17"/>
  <c r="Z95" i="17"/>
  <c r="Z91" i="17"/>
  <c r="Z88" i="17"/>
  <c r="Z152" i="17"/>
  <c r="Z148" i="17"/>
  <c r="Z140" i="17"/>
  <c r="Z124" i="17"/>
  <c r="Z112" i="17"/>
  <c r="Z104" i="17"/>
  <c r="Z96" i="17"/>
  <c r="Z92" i="17"/>
  <c r="W151" i="17"/>
  <c r="W147" i="17"/>
  <c r="W143" i="17"/>
  <c r="W139" i="17"/>
  <c r="W135" i="17"/>
  <c r="W131" i="17"/>
  <c r="W127" i="17"/>
  <c r="W123" i="17"/>
  <c r="W119" i="17"/>
  <c r="W115" i="17"/>
  <c r="W111" i="17"/>
  <c r="W107" i="17"/>
  <c r="W103" i="17"/>
  <c r="W99" i="17"/>
  <c r="W95" i="17"/>
  <c r="W91" i="17"/>
  <c r="W87" i="17"/>
  <c r="W86" i="17"/>
  <c r="W85" i="17"/>
  <c r="W84" i="17"/>
  <c r="W83" i="17"/>
  <c r="W82" i="17"/>
  <c r="W81" i="17"/>
  <c r="W80" i="17"/>
  <c r="W79" i="17"/>
  <c r="W78" i="17"/>
  <c r="W77" i="17"/>
  <c r="W76" i="17"/>
  <c r="W140" i="17"/>
  <c r="W120" i="17"/>
  <c r="W100" i="17"/>
  <c r="W141" i="17"/>
  <c r="W137" i="17"/>
  <c r="W133" i="17"/>
  <c r="W129" i="17"/>
  <c r="W125" i="17"/>
  <c r="W113" i="17"/>
  <c r="W105" i="17"/>
  <c r="W97" i="17"/>
  <c r="W150" i="17"/>
  <c r="W146" i="17"/>
  <c r="W142" i="17"/>
  <c r="W138" i="17"/>
  <c r="W134" i="17"/>
  <c r="W130" i="17"/>
  <c r="W126" i="17"/>
  <c r="W122" i="17"/>
  <c r="W118" i="17"/>
  <c r="W114" i="17"/>
  <c r="W110" i="17"/>
  <c r="W106" i="17"/>
  <c r="W102" i="17"/>
  <c r="W98" i="17"/>
  <c r="W94" i="17"/>
  <c r="W90" i="17"/>
  <c r="W88" i="17"/>
  <c r="W152" i="17"/>
  <c r="W148" i="17"/>
  <c r="W144" i="17"/>
  <c r="W136" i="17"/>
  <c r="W132" i="17"/>
  <c r="W128" i="17"/>
  <c r="W124" i="17"/>
  <c r="W116" i="17"/>
  <c r="W112" i="17"/>
  <c r="W108" i="17"/>
  <c r="W104" i="17"/>
  <c r="W96" i="17"/>
  <c r="W92" i="17"/>
  <c r="W149" i="17"/>
  <c r="W145" i="17"/>
  <c r="W121" i="17"/>
  <c r="W117" i="17"/>
  <c r="W109" i="17"/>
  <c r="W101" i="17"/>
  <c r="W93" i="17"/>
  <c r="W89" i="17"/>
  <c r="T152" i="17"/>
  <c r="T151" i="17"/>
  <c r="T150" i="17"/>
  <c r="T149" i="17"/>
  <c r="T148" i="17"/>
  <c r="T147" i="17"/>
  <c r="T146" i="17"/>
  <c r="T145" i="17"/>
  <c r="T144" i="17"/>
  <c r="T143" i="17"/>
  <c r="T142" i="17"/>
  <c r="T141" i="17"/>
  <c r="T140" i="17"/>
  <c r="T139" i="17"/>
  <c r="T138" i="17"/>
  <c r="T137" i="17"/>
  <c r="T136" i="17"/>
  <c r="T135" i="17"/>
  <c r="T134" i="17"/>
  <c r="T133" i="17"/>
  <c r="T132" i="17"/>
  <c r="T131" i="17"/>
  <c r="T130" i="17"/>
  <c r="T129" i="17"/>
  <c r="T128" i="17"/>
  <c r="T127" i="17"/>
  <c r="T126" i="17"/>
  <c r="T125" i="17"/>
  <c r="T124" i="17"/>
  <c r="T123" i="17"/>
  <c r="T122" i="17"/>
  <c r="T121" i="17"/>
  <c r="T120" i="17"/>
  <c r="T119" i="17"/>
  <c r="T118" i="17"/>
  <c r="T117" i="17"/>
  <c r="T116" i="17"/>
  <c r="T115" i="17"/>
  <c r="T114" i="17"/>
  <c r="T113" i="17"/>
  <c r="T112" i="17"/>
  <c r="T111" i="17"/>
  <c r="T110" i="17"/>
  <c r="T109" i="17"/>
  <c r="T108" i="17"/>
  <c r="T107" i="17"/>
  <c r="T106" i="17"/>
  <c r="T105" i="17"/>
  <c r="T104" i="17"/>
  <c r="T103" i="17"/>
  <c r="T102" i="17"/>
  <c r="T101" i="17"/>
  <c r="T100" i="17"/>
  <c r="T99" i="17"/>
  <c r="T98" i="17"/>
  <c r="T97" i="17"/>
  <c r="T96" i="17"/>
  <c r="T95" i="17"/>
  <c r="T94" i="17"/>
  <c r="T93" i="17"/>
  <c r="T92" i="17"/>
  <c r="T91" i="17"/>
  <c r="T90" i="17"/>
  <c r="T89" i="17"/>
  <c r="T88" i="17"/>
  <c r="T87" i="17"/>
  <c r="T86" i="17"/>
  <c r="T84" i="17"/>
  <c r="T82" i="17"/>
  <c r="T80" i="17"/>
  <c r="T79" i="17"/>
  <c r="T85" i="17"/>
  <c r="T83" i="17"/>
  <c r="T81" i="17"/>
  <c r="T78" i="17"/>
  <c r="T77" i="17"/>
  <c r="T76" i="17"/>
  <c r="Y152" i="17"/>
  <c r="Y151" i="17"/>
  <c r="Y150" i="17"/>
  <c r="Y149" i="17"/>
  <c r="Y148" i="17"/>
  <c r="Y147" i="17"/>
  <c r="Y146" i="17"/>
  <c r="Y145" i="17"/>
  <c r="Y144" i="17"/>
  <c r="Y143" i="17"/>
  <c r="Y142" i="17"/>
  <c r="Y141" i="17"/>
  <c r="Y140" i="17"/>
  <c r="Y139" i="17"/>
  <c r="Y138" i="17"/>
  <c r="Y137" i="17"/>
  <c r="Y136" i="17"/>
  <c r="Y135" i="17"/>
  <c r="Y134" i="17"/>
  <c r="Y133" i="17"/>
  <c r="Y132" i="17"/>
  <c r="Y131" i="17"/>
  <c r="Y130" i="17"/>
  <c r="Y129" i="17"/>
  <c r="Y128" i="17"/>
  <c r="Y127" i="17"/>
  <c r="Y126" i="17"/>
  <c r="Y125" i="17"/>
  <c r="Y124" i="17"/>
  <c r="Y123" i="17"/>
  <c r="Y122" i="17"/>
  <c r="Y121" i="17"/>
  <c r="Y120" i="17"/>
  <c r="Y119" i="17"/>
  <c r="Y118" i="17"/>
  <c r="Y117" i="17"/>
  <c r="Y116" i="17"/>
  <c r="Y115" i="17"/>
  <c r="Y114" i="17"/>
  <c r="Y113" i="17"/>
  <c r="Y112" i="17"/>
  <c r="Y111" i="17"/>
  <c r="Y110" i="17"/>
  <c r="Y109" i="17"/>
  <c r="Y108" i="17"/>
  <c r="Y107" i="17"/>
  <c r="Y106" i="17"/>
  <c r="Y105" i="17"/>
  <c r="Y104" i="17"/>
  <c r="Y103" i="17"/>
  <c r="Y102" i="17"/>
  <c r="Y101" i="17"/>
  <c r="Y100" i="17"/>
  <c r="Y99" i="17"/>
  <c r="Y98" i="17"/>
  <c r="Y97" i="17"/>
  <c r="Y96" i="17"/>
  <c r="Y95" i="17"/>
  <c r="Y94" i="17"/>
  <c r="Y93" i="17"/>
  <c r="Y92" i="17"/>
  <c r="Y91" i="17"/>
  <c r="Y90" i="17"/>
  <c r="Y89" i="17"/>
  <c r="Y88" i="17"/>
  <c r="Y86" i="17"/>
  <c r="Y85" i="17"/>
  <c r="Y83" i="17"/>
  <c r="Y81" i="17"/>
  <c r="Y80" i="17"/>
  <c r="Y78" i="17"/>
  <c r="Y76" i="17"/>
  <c r="Y87" i="17"/>
  <c r="Y84" i="17"/>
  <c r="Y82" i="17"/>
  <c r="Y79" i="17"/>
  <c r="Y77" i="17"/>
  <c r="AB152" i="17"/>
  <c r="AB151" i="17"/>
  <c r="AB150" i="17"/>
  <c r="AB149" i="17"/>
  <c r="AB148" i="17"/>
  <c r="AB147" i="17"/>
  <c r="AB146" i="17"/>
  <c r="AB145" i="17"/>
  <c r="AB144" i="17"/>
  <c r="AB143" i="17"/>
  <c r="AB142" i="17"/>
  <c r="AB141" i="17"/>
  <c r="AB140" i="17"/>
  <c r="AB139" i="17"/>
  <c r="AB138" i="17"/>
  <c r="AB137" i="17"/>
  <c r="AB136" i="17"/>
  <c r="AB135" i="17"/>
  <c r="AB134" i="17"/>
  <c r="AB133" i="17"/>
  <c r="AB132" i="17"/>
  <c r="AB131" i="17"/>
  <c r="AB130" i="17"/>
  <c r="AB129" i="17"/>
  <c r="AB128" i="17"/>
  <c r="AB127" i="17"/>
  <c r="AB126" i="17"/>
  <c r="AB125" i="17"/>
  <c r="AB124" i="17"/>
  <c r="AB123" i="17"/>
  <c r="AB122" i="17"/>
  <c r="AB121" i="17"/>
  <c r="AB120" i="17"/>
  <c r="AB119" i="17"/>
  <c r="AB118" i="17"/>
  <c r="AB117" i="17"/>
  <c r="AB116" i="17"/>
  <c r="AB115" i="17"/>
  <c r="AB114" i="17"/>
  <c r="AB113" i="17"/>
  <c r="AB112" i="17"/>
  <c r="AB111" i="17"/>
  <c r="AB110" i="17"/>
  <c r="AB109" i="17"/>
  <c r="AB108" i="17"/>
  <c r="AB107" i="17"/>
  <c r="AB106" i="17"/>
  <c r="AB105" i="17"/>
  <c r="AB104" i="17"/>
  <c r="AB103" i="17"/>
  <c r="AB102" i="17"/>
  <c r="AB101" i="17"/>
  <c r="AB100" i="17"/>
  <c r="AB99" i="17"/>
  <c r="AB98" i="17"/>
  <c r="AB97" i="17"/>
  <c r="AB96" i="17"/>
  <c r="AB95" i="17"/>
  <c r="AB94" i="17"/>
  <c r="AB93" i="17"/>
  <c r="AB92" i="17"/>
  <c r="AB91" i="17"/>
  <c r="AB90" i="17"/>
  <c r="AB89" i="17"/>
  <c r="AB87" i="17"/>
  <c r="AB85" i="17"/>
  <c r="AB83" i="17"/>
  <c r="AB81" i="17"/>
  <c r="AB79" i="17"/>
  <c r="AB78" i="17"/>
  <c r="AB76" i="17"/>
  <c r="AB88" i="17"/>
  <c r="AB86" i="17"/>
  <c r="AB84" i="17"/>
  <c r="AB82" i="17"/>
  <c r="AB80" i="17"/>
  <c r="AB77" i="17"/>
  <c r="AA149" i="17"/>
  <c r="AA145" i="17"/>
  <c r="AA141" i="17"/>
  <c r="AA137" i="17"/>
  <c r="AA133" i="17"/>
  <c r="AA129" i="17"/>
  <c r="AA125" i="17"/>
  <c r="AA121" i="17"/>
  <c r="AA117" i="17"/>
  <c r="AA113" i="17"/>
  <c r="AA109" i="17"/>
  <c r="AA105" i="17"/>
  <c r="AA101" i="17"/>
  <c r="AA97" i="17"/>
  <c r="AA93" i="17"/>
  <c r="AA89" i="17"/>
  <c r="AA87" i="17"/>
  <c r="AA86" i="17"/>
  <c r="AA85" i="17"/>
  <c r="AA84" i="17"/>
  <c r="AA83" i="17"/>
  <c r="AA82" i="17"/>
  <c r="AA81" i="17"/>
  <c r="AA80" i="17"/>
  <c r="AA79" i="17"/>
  <c r="AA78" i="17"/>
  <c r="AA77" i="17"/>
  <c r="AA76" i="17"/>
  <c r="AA142" i="17"/>
  <c r="AA134" i="17"/>
  <c r="AA122" i="17"/>
  <c r="AA114" i="17"/>
  <c r="AA110" i="17"/>
  <c r="AA102" i="17"/>
  <c r="AA151" i="17"/>
  <c r="AA143" i="17"/>
  <c r="AA135" i="17"/>
  <c r="AA131" i="17"/>
  <c r="AA127" i="17"/>
  <c r="AA119" i="17"/>
  <c r="AA115" i="17"/>
  <c r="AA107" i="17"/>
  <c r="AA99" i="17"/>
  <c r="AA88" i="17"/>
  <c r="AA152" i="17"/>
  <c r="AA148" i="17"/>
  <c r="AA144" i="17"/>
  <c r="AA140" i="17"/>
  <c r="AA136" i="17"/>
  <c r="AA132" i="17"/>
  <c r="AA128" i="17"/>
  <c r="AA124" i="17"/>
  <c r="AA120" i="17"/>
  <c r="AA116" i="17"/>
  <c r="AA112" i="17"/>
  <c r="AA108" i="17"/>
  <c r="AA104" i="17"/>
  <c r="AA100" i="17"/>
  <c r="AA96" i="17"/>
  <c r="AA92" i="17"/>
  <c r="AA150" i="17"/>
  <c r="AA146" i="17"/>
  <c r="AA138" i="17"/>
  <c r="AA130" i="17"/>
  <c r="AA126" i="17"/>
  <c r="AA118" i="17"/>
  <c r="AA106" i="17"/>
  <c r="AA98" i="17"/>
  <c r="AA94" i="17"/>
  <c r="AA90" i="17"/>
  <c r="AA147" i="17"/>
  <c r="AA139" i="17"/>
  <c r="AA123" i="17"/>
  <c r="AA111" i="17"/>
  <c r="AA103" i="17"/>
  <c r="AA95" i="17"/>
  <c r="AA91" i="17"/>
  <c r="X152" i="17"/>
  <c r="X151" i="17"/>
  <c r="X150" i="17"/>
  <c r="X149" i="17"/>
  <c r="X148" i="17"/>
  <c r="X147" i="17"/>
  <c r="X146" i="17"/>
  <c r="X145" i="17"/>
  <c r="X144" i="17"/>
  <c r="X143" i="17"/>
  <c r="X142" i="17"/>
  <c r="X141" i="17"/>
  <c r="X140" i="17"/>
  <c r="X139" i="17"/>
  <c r="X138" i="17"/>
  <c r="X137" i="17"/>
  <c r="X136" i="17"/>
  <c r="X135" i="17"/>
  <c r="X134" i="17"/>
  <c r="X133" i="17"/>
  <c r="X132" i="17"/>
  <c r="X131" i="17"/>
  <c r="X130" i="17"/>
  <c r="X129" i="17"/>
  <c r="X128" i="17"/>
  <c r="X127" i="17"/>
  <c r="X126" i="17"/>
  <c r="X125" i="17"/>
  <c r="X124" i="17"/>
  <c r="X123" i="17"/>
  <c r="X122" i="17"/>
  <c r="X121" i="17"/>
  <c r="X120" i="17"/>
  <c r="X119" i="17"/>
  <c r="X118" i="17"/>
  <c r="X117" i="17"/>
  <c r="X116" i="17"/>
  <c r="X115" i="17"/>
  <c r="X114" i="17"/>
  <c r="X113" i="17"/>
  <c r="X112" i="17"/>
  <c r="X111" i="17"/>
  <c r="X110" i="17"/>
  <c r="X109" i="17"/>
  <c r="X108" i="17"/>
  <c r="X107" i="17"/>
  <c r="X106" i="17"/>
  <c r="X105" i="17"/>
  <c r="X104" i="17"/>
  <c r="X103" i="17"/>
  <c r="X102" i="17"/>
  <c r="X101" i="17"/>
  <c r="X100" i="17"/>
  <c r="X99" i="17"/>
  <c r="X98" i="17"/>
  <c r="X97" i="17"/>
  <c r="X96" i="17"/>
  <c r="X95" i="17"/>
  <c r="X94" i="17"/>
  <c r="X93" i="17"/>
  <c r="X92" i="17"/>
  <c r="X91" i="17"/>
  <c r="X90" i="17"/>
  <c r="X89" i="17"/>
  <c r="X88" i="17"/>
  <c r="X87" i="17"/>
  <c r="X85" i="17"/>
  <c r="X83" i="17"/>
  <c r="X81" i="17"/>
  <c r="X78" i="17"/>
  <c r="X77" i="17"/>
  <c r="X76" i="17"/>
  <c r="X86" i="17"/>
  <c r="X84" i="17"/>
  <c r="X82" i="17"/>
  <c r="X80" i="17"/>
  <c r="X79" i="17"/>
  <c r="V152" i="17"/>
  <c r="V148" i="17"/>
  <c r="V144" i="17"/>
  <c r="V140" i="17"/>
  <c r="V136" i="17"/>
  <c r="V132" i="17"/>
  <c r="V128" i="17"/>
  <c r="V124" i="17"/>
  <c r="V120" i="17"/>
  <c r="V116" i="17"/>
  <c r="V112" i="17"/>
  <c r="V108" i="17"/>
  <c r="V104" i="17"/>
  <c r="V100" i="17"/>
  <c r="V96" i="17"/>
  <c r="V92" i="17"/>
  <c r="V141" i="17"/>
  <c r="V121" i="17"/>
  <c r="V109" i="17"/>
  <c r="V101" i="17"/>
  <c r="V142" i="17"/>
  <c r="V138" i="17"/>
  <c r="V134" i="17"/>
  <c r="V130" i="17"/>
  <c r="V126" i="17"/>
  <c r="V114" i="17"/>
  <c r="V106" i="17"/>
  <c r="V98" i="17"/>
  <c r="V88" i="17"/>
  <c r="V151" i="17"/>
  <c r="V147" i="17"/>
  <c r="V143" i="17"/>
  <c r="V139" i="17"/>
  <c r="V135" i="17"/>
  <c r="V131" i="17"/>
  <c r="V127" i="17"/>
  <c r="V123" i="17"/>
  <c r="V119" i="17"/>
  <c r="V115" i="17"/>
  <c r="V111" i="17"/>
  <c r="V107" i="17"/>
  <c r="V103" i="17"/>
  <c r="V99" i="17"/>
  <c r="V95" i="17"/>
  <c r="V91" i="17"/>
  <c r="V87" i="17"/>
  <c r="V86" i="17"/>
  <c r="V85" i="17"/>
  <c r="V84" i="17"/>
  <c r="V83" i="17"/>
  <c r="V82" i="17"/>
  <c r="V81" i="17"/>
  <c r="V80" i="17"/>
  <c r="V79" i="17"/>
  <c r="V78" i="17"/>
  <c r="V77" i="17"/>
  <c r="V76" i="17"/>
  <c r="V149" i="17"/>
  <c r="V145" i="17"/>
  <c r="V137" i="17"/>
  <c r="V133" i="17"/>
  <c r="V129" i="17"/>
  <c r="V125" i="17"/>
  <c r="V117" i="17"/>
  <c r="V113" i="17"/>
  <c r="V105" i="17"/>
  <c r="V97" i="17"/>
  <c r="V93" i="17"/>
  <c r="V89" i="17"/>
  <c r="V150" i="17"/>
  <c r="V146" i="17"/>
  <c r="V122" i="17"/>
  <c r="V118" i="17"/>
  <c r="V110" i="17"/>
  <c r="V102" i="17"/>
  <c r="V94" i="17"/>
  <c r="V90" i="17"/>
  <c r="U152" i="17"/>
  <c r="U151" i="17"/>
  <c r="U150" i="17"/>
  <c r="U149" i="17"/>
  <c r="U148" i="17"/>
  <c r="U147" i="17"/>
  <c r="U146" i="17"/>
  <c r="U145" i="17"/>
  <c r="U144" i="17"/>
  <c r="U143" i="17"/>
  <c r="U142" i="17"/>
  <c r="U141" i="17"/>
  <c r="U140" i="17"/>
  <c r="U139" i="17"/>
  <c r="U138" i="17"/>
  <c r="U137" i="17"/>
  <c r="U136" i="17"/>
  <c r="U135" i="17"/>
  <c r="U134" i="17"/>
  <c r="U133" i="17"/>
  <c r="U132" i="17"/>
  <c r="U131" i="17"/>
  <c r="U130" i="17"/>
  <c r="U129" i="17"/>
  <c r="U128" i="17"/>
  <c r="U127" i="17"/>
  <c r="U126" i="17"/>
  <c r="U125" i="17"/>
  <c r="U124" i="17"/>
  <c r="U123" i="17"/>
  <c r="U122" i="17"/>
  <c r="U121" i="17"/>
  <c r="U120" i="17"/>
  <c r="U119" i="17"/>
  <c r="U118" i="17"/>
  <c r="U117" i="17"/>
  <c r="U116" i="17"/>
  <c r="U115" i="17"/>
  <c r="U114" i="17"/>
  <c r="U113" i="17"/>
  <c r="U112" i="17"/>
  <c r="U111" i="17"/>
  <c r="U110" i="17"/>
  <c r="U109" i="17"/>
  <c r="U108" i="17"/>
  <c r="U107" i="17"/>
  <c r="U106" i="17"/>
  <c r="U105" i="17"/>
  <c r="U104" i="17"/>
  <c r="U103" i="17"/>
  <c r="U102" i="17"/>
  <c r="U101" i="17"/>
  <c r="U100" i="17"/>
  <c r="U99" i="17"/>
  <c r="U98" i="17"/>
  <c r="U97" i="17"/>
  <c r="U96" i="17"/>
  <c r="U95" i="17"/>
  <c r="U94" i="17"/>
  <c r="U93" i="17"/>
  <c r="U92" i="17"/>
  <c r="U91" i="17"/>
  <c r="U90" i="17"/>
  <c r="U89" i="17"/>
  <c r="U88" i="17"/>
  <c r="U87" i="17"/>
  <c r="U84" i="17"/>
  <c r="U82" i="17"/>
  <c r="U79" i="17"/>
  <c r="U77" i="17"/>
  <c r="U86" i="17"/>
  <c r="U85" i="17"/>
  <c r="U83" i="17"/>
  <c r="U81" i="17"/>
  <c r="U80" i="17"/>
  <c r="U78" i="17"/>
  <c r="U76" i="17"/>
  <c r="AA226" i="17"/>
  <c r="AA222" i="17"/>
  <c r="AA218" i="17"/>
  <c r="AA214" i="17"/>
  <c r="AA210" i="17"/>
  <c r="AA206" i="17"/>
  <c r="AA202" i="17"/>
  <c r="AA198" i="17"/>
  <c r="AA194" i="17"/>
  <c r="AA190" i="17"/>
  <c r="AA186" i="17"/>
  <c r="AA182" i="17"/>
  <c r="AA178" i="17"/>
  <c r="AA174" i="17"/>
  <c r="AA170" i="17"/>
  <c r="AA166" i="17"/>
  <c r="AA227" i="17"/>
  <c r="AA223" i="17"/>
  <c r="AA219" i="17"/>
  <c r="AA215" i="17"/>
  <c r="AA211" i="17"/>
  <c r="AA207" i="17"/>
  <c r="AA203" i="17"/>
  <c r="AA199" i="17"/>
  <c r="AA195" i="17"/>
  <c r="AA191" i="17"/>
  <c r="AA187" i="17"/>
  <c r="AA183" i="17"/>
  <c r="AA179" i="17"/>
  <c r="AA175" i="17"/>
  <c r="AA171" i="17"/>
  <c r="AA167" i="17"/>
  <c r="AA228" i="17"/>
  <c r="AA224" i="17"/>
  <c r="AA220" i="17"/>
  <c r="AA216" i="17"/>
  <c r="AA212" i="17"/>
  <c r="AA208" i="17"/>
  <c r="AA204" i="17"/>
  <c r="AA200" i="17"/>
  <c r="AA196" i="17"/>
  <c r="AA192" i="17"/>
  <c r="AA188" i="17"/>
  <c r="AA184" i="17"/>
  <c r="AA180" i="17"/>
  <c r="AA176" i="17"/>
  <c r="AA172" i="17"/>
  <c r="AA168" i="17"/>
  <c r="AA165" i="17"/>
  <c r="AA153" i="17"/>
  <c r="AA155" i="17"/>
  <c r="AA229" i="17"/>
  <c r="AA221" i="17"/>
  <c r="AA205" i="17"/>
  <c r="AA189" i="17"/>
  <c r="AA173" i="17"/>
  <c r="AA161" i="17"/>
  <c r="AA225" i="17"/>
  <c r="AA217" i="17"/>
  <c r="AA209" i="17"/>
  <c r="AA201" i="17"/>
  <c r="AA193" i="17"/>
  <c r="AA185" i="17"/>
  <c r="AA177" i="17"/>
  <c r="AA169" i="17"/>
  <c r="AA164" i="17"/>
  <c r="AA162" i="17"/>
  <c r="AA160" i="17"/>
  <c r="AA158" i="17"/>
  <c r="AA154" i="17"/>
  <c r="AA157" i="17"/>
  <c r="AA213" i="17"/>
  <c r="AA197" i="17"/>
  <c r="AA181" i="17"/>
  <c r="AA163" i="17"/>
  <c r="AA159" i="17"/>
  <c r="AA156" i="17"/>
  <c r="X229" i="17"/>
  <c r="X228" i="17"/>
  <c r="X227" i="17"/>
  <c r="X226" i="17"/>
  <c r="X225" i="17"/>
  <c r="X224" i="17"/>
  <c r="X223" i="17"/>
  <c r="X222" i="17"/>
  <c r="X221" i="17"/>
  <c r="X220" i="17"/>
  <c r="X219" i="17"/>
  <c r="X218" i="17"/>
  <c r="X217" i="17"/>
  <c r="X216" i="17"/>
  <c r="X215" i="17"/>
  <c r="X214" i="17"/>
  <c r="X213" i="17"/>
  <c r="X212" i="17"/>
  <c r="X211" i="17"/>
  <c r="X210" i="17"/>
  <c r="X209" i="17"/>
  <c r="X208" i="17"/>
  <c r="X207" i="17"/>
  <c r="X206" i="17"/>
  <c r="X205" i="17"/>
  <c r="X204" i="17"/>
  <c r="X203" i="17"/>
  <c r="X202" i="17"/>
  <c r="X201" i="17"/>
  <c r="X200" i="17"/>
  <c r="X199" i="17"/>
  <c r="X198" i="17"/>
  <c r="X197" i="17"/>
  <c r="X196" i="17"/>
  <c r="X195" i="17"/>
  <c r="X194" i="17"/>
  <c r="X193" i="17"/>
  <c r="X192" i="17"/>
  <c r="X191" i="17"/>
  <c r="X190" i="17"/>
  <c r="X189" i="17"/>
  <c r="X188" i="17"/>
  <c r="X187" i="17"/>
  <c r="X186" i="17"/>
  <c r="X185" i="17"/>
  <c r="X184" i="17"/>
  <c r="X183" i="17"/>
  <c r="X182" i="17"/>
  <c r="X181" i="17"/>
  <c r="X180" i="17"/>
  <c r="X179" i="17"/>
  <c r="X178" i="17"/>
  <c r="X177" i="17"/>
  <c r="X176" i="17"/>
  <c r="X175" i="17"/>
  <c r="X174" i="17"/>
  <c r="X173" i="17"/>
  <c r="X172" i="17"/>
  <c r="X171" i="17"/>
  <c r="X170" i="17"/>
  <c r="X169" i="17"/>
  <c r="X168" i="17"/>
  <c r="X167" i="17"/>
  <c r="X166" i="17"/>
  <c r="X165" i="17"/>
  <c r="X164" i="17"/>
  <c r="X163" i="17"/>
  <c r="X162" i="17"/>
  <c r="X161" i="17"/>
  <c r="X160" i="17"/>
  <c r="X159" i="17"/>
  <c r="X158" i="17"/>
  <c r="X157" i="17"/>
  <c r="X156" i="17"/>
  <c r="X155" i="17"/>
  <c r="X154" i="17"/>
  <c r="X153" i="17"/>
  <c r="V229" i="17"/>
  <c r="V225" i="17"/>
  <c r="V221" i="17"/>
  <c r="V217" i="17"/>
  <c r="V213" i="17"/>
  <c r="V209" i="17"/>
  <c r="V205" i="17"/>
  <c r="V201" i="17"/>
  <c r="V197" i="17"/>
  <c r="V193" i="17"/>
  <c r="V189" i="17"/>
  <c r="V185" i="17"/>
  <c r="V181" i="17"/>
  <c r="V177" i="17"/>
  <c r="V173" i="17"/>
  <c r="V169" i="17"/>
  <c r="V226" i="17"/>
  <c r="V222" i="17"/>
  <c r="V218" i="17"/>
  <c r="V214" i="17"/>
  <c r="V210" i="17"/>
  <c r="V206" i="17"/>
  <c r="V202" i="17"/>
  <c r="V198" i="17"/>
  <c r="V194" i="17"/>
  <c r="V190" i="17"/>
  <c r="V186" i="17"/>
  <c r="V182" i="17"/>
  <c r="V178" i="17"/>
  <c r="V174" i="17"/>
  <c r="V170" i="17"/>
  <c r="V166" i="17"/>
  <c r="V227" i="17"/>
  <c r="V223" i="17"/>
  <c r="V219" i="17"/>
  <c r="V215" i="17"/>
  <c r="V211" i="17"/>
  <c r="V207" i="17"/>
  <c r="V203" i="17"/>
  <c r="V199" i="17"/>
  <c r="V195" i="17"/>
  <c r="V191" i="17"/>
  <c r="V187" i="17"/>
  <c r="V183" i="17"/>
  <c r="V179" i="17"/>
  <c r="V175" i="17"/>
  <c r="V171" i="17"/>
  <c r="V167" i="17"/>
  <c r="V165" i="17"/>
  <c r="V164" i="17"/>
  <c r="V163" i="17"/>
  <c r="V162" i="17"/>
  <c r="V161" i="17"/>
  <c r="V160" i="17"/>
  <c r="V159" i="17"/>
  <c r="V158" i="17"/>
  <c r="V157" i="17"/>
  <c r="V224" i="17"/>
  <c r="V216" i="17"/>
  <c r="V208" i="17"/>
  <c r="V200" i="17"/>
  <c r="V192" i="17"/>
  <c r="V184" i="17"/>
  <c r="V176" i="17"/>
  <c r="V168" i="17"/>
  <c r="V156" i="17"/>
  <c r="V220" i="17"/>
  <c r="V196" i="17"/>
  <c r="V172" i="17"/>
  <c r="V154" i="17"/>
  <c r="V153" i="17"/>
  <c r="V228" i="17"/>
  <c r="V212" i="17"/>
  <c r="V204" i="17"/>
  <c r="V188" i="17"/>
  <c r="V180" i="17"/>
  <c r="V155" i="17"/>
  <c r="U229" i="17"/>
  <c r="U228" i="17"/>
  <c r="U227" i="17"/>
  <c r="U226" i="17"/>
  <c r="U225" i="17"/>
  <c r="U224" i="17"/>
  <c r="U223" i="17"/>
  <c r="U222" i="17"/>
  <c r="U221" i="17"/>
  <c r="U220" i="17"/>
  <c r="U219" i="17"/>
  <c r="U218" i="17"/>
  <c r="U217" i="17"/>
  <c r="U216" i="17"/>
  <c r="U215" i="17"/>
  <c r="U214" i="17"/>
  <c r="U213" i="17"/>
  <c r="U212" i="17"/>
  <c r="U211" i="17"/>
  <c r="U210" i="17"/>
  <c r="U209" i="17"/>
  <c r="U208" i="17"/>
  <c r="U207" i="17"/>
  <c r="U206" i="17"/>
  <c r="U205" i="17"/>
  <c r="U204" i="17"/>
  <c r="U203" i="17"/>
  <c r="U202" i="17"/>
  <c r="U201" i="17"/>
  <c r="U200" i="17"/>
  <c r="U199" i="17"/>
  <c r="U198" i="17"/>
  <c r="U197" i="17"/>
  <c r="U196" i="17"/>
  <c r="U195" i="17"/>
  <c r="U194" i="17"/>
  <c r="U193" i="17"/>
  <c r="U192" i="17"/>
  <c r="U191" i="17"/>
  <c r="U190" i="17"/>
  <c r="U189" i="17"/>
  <c r="U188" i="17"/>
  <c r="U187" i="17"/>
  <c r="U186" i="17"/>
  <c r="U185" i="17"/>
  <c r="U184" i="17"/>
  <c r="U183" i="17"/>
  <c r="U182" i="17"/>
  <c r="U181" i="17"/>
  <c r="U180" i="17"/>
  <c r="U179" i="17"/>
  <c r="U178" i="17"/>
  <c r="U177" i="17"/>
  <c r="U176" i="17"/>
  <c r="U175" i="17"/>
  <c r="U174" i="17"/>
  <c r="U173" i="17"/>
  <c r="U172" i="17"/>
  <c r="U171" i="17"/>
  <c r="U170" i="17"/>
  <c r="U169" i="17"/>
  <c r="U168" i="17"/>
  <c r="U167" i="17"/>
  <c r="U166" i="17"/>
  <c r="U165" i="17"/>
  <c r="U164" i="17"/>
  <c r="U163" i="17"/>
  <c r="U162" i="17"/>
  <c r="U161" i="17"/>
  <c r="U160" i="17"/>
  <c r="U159" i="17"/>
  <c r="U158" i="17"/>
  <c r="U157" i="17"/>
  <c r="U156" i="17"/>
  <c r="U155" i="17"/>
  <c r="U154" i="17"/>
  <c r="U153" i="17"/>
  <c r="Z227" i="17"/>
  <c r="Z223" i="17"/>
  <c r="Z219" i="17"/>
  <c r="Z215" i="17"/>
  <c r="Z211" i="17"/>
  <c r="Z207" i="17"/>
  <c r="Z203" i="17"/>
  <c r="Z199" i="17"/>
  <c r="Z195" i="17"/>
  <c r="Z191" i="17"/>
  <c r="Z187" i="17"/>
  <c r="Z183" i="17"/>
  <c r="Z179" i="17"/>
  <c r="Z175" i="17"/>
  <c r="Z171" i="17"/>
  <c r="Z167" i="17"/>
  <c r="Z228" i="17"/>
  <c r="Z224" i="17"/>
  <c r="Z220" i="17"/>
  <c r="Z216" i="17"/>
  <c r="Z212" i="17"/>
  <c r="Z208" i="17"/>
  <c r="Z204" i="17"/>
  <c r="Z200" i="17"/>
  <c r="Z196" i="17"/>
  <c r="Z192" i="17"/>
  <c r="Z188" i="17"/>
  <c r="Z184" i="17"/>
  <c r="Z180" i="17"/>
  <c r="Z176" i="17"/>
  <c r="Z172" i="17"/>
  <c r="Z168" i="17"/>
  <c r="Z165" i="17"/>
  <c r="Z229" i="17"/>
  <c r="Z225" i="17"/>
  <c r="Z221" i="17"/>
  <c r="Z217" i="17"/>
  <c r="Z213" i="17"/>
  <c r="Z209" i="17"/>
  <c r="Z205" i="17"/>
  <c r="Z201" i="17"/>
  <c r="Z197" i="17"/>
  <c r="Z193" i="17"/>
  <c r="Z189" i="17"/>
  <c r="Z185" i="17"/>
  <c r="Z181" i="17"/>
  <c r="Z177" i="17"/>
  <c r="Z173" i="17"/>
  <c r="Z169" i="17"/>
  <c r="Z164" i="17"/>
  <c r="Z163" i="17"/>
  <c r="Z162" i="17"/>
  <c r="Z161" i="17"/>
  <c r="Z160" i="17"/>
  <c r="Z159" i="17"/>
  <c r="Z158" i="17"/>
  <c r="Z157" i="17"/>
  <c r="Z222" i="17"/>
  <c r="Z214" i="17"/>
  <c r="Z206" i="17"/>
  <c r="Z198" i="17"/>
  <c r="Z190" i="17"/>
  <c r="Z182" i="17"/>
  <c r="Z174" i="17"/>
  <c r="Z166" i="17"/>
  <c r="Z154" i="17"/>
  <c r="Z194" i="17"/>
  <c r="Z170" i="17"/>
  <c r="Z156" i="17"/>
  <c r="Z153" i="17"/>
  <c r="Z155" i="17"/>
  <c r="Z226" i="17"/>
  <c r="Z218" i="17"/>
  <c r="Z210" i="17"/>
  <c r="Z202" i="17"/>
  <c r="Z186" i="17"/>
  <c r="Z178" i="17"/>
  <c r="AB229" i="17"/>
  <c r="AB228" i="17"/>
  <c r="AB227" i="17"/>
  <c r="AB226" i="17"/>
  <c r="AB225" i="17"/>
  <c r="AB224" i="17"/>
  <c r="AB223" i="17"/>
  <c r="AB222" i="17"/>
  <c r="AB221" i="17"/>
  <c r="AB220" i="17"/>
  <c r="AB219" i="17"/>
  <c r="AB218" i="17"/>
  <c r="AB217" i="17"/>
  <c r="AB216" i="17"/>
  <c r="AB215" i="17"/>
  <c r="AB214" i="17"/>
  <c r="AB213" i="17"/>
  <c r="AB212" i="17"/>
  <c r="AB211" i="17"/>
  <c r="AB210" i="17"/>
  <c r="AB209" i="17"/>
  <c r="AB208" i="17"/>
  <c r="AB207" i="17"/>
  <c r="AB206" i="17"/>
  <c r="AB205" i="17"/>
  <c r="AB204" i="17"/>
  <c r="AB203" i="17"/>
  <c r="AB202" i="17"/>
  <c r="AB201" i="17"/>
  <c r="AB200" i="17"/>
  <c r="AB199" i="17"/>
  <c r="AB198" i="17"/>
  <c r="AB197" i="17"/>
  <c r="AB196" i="17"/>
  <c r="AB195" i="17"/>
  <c r="AB194" i="17"/>
  <c r="AB193" i="17"/>
  <c r="AB192" i="17"/>
  <c r="AB191" i="17"/>
  <c r="AB190" i="17"/>
  <c r="AB189" i="17"/>
  <c r="AB188" i="17"/>
  <c r="AB187" i="17"/>
  <c r="AB186" i="17"/>
  <c r="AB185" i="17"/>
  <c r="AB184" i="17"/>
  <c r="AB183" i="17"/>
  <c r="AB182" i="17"/>
  <c r="AB181" i="17"/>
  <c r="AB180" i="17"/>
  <c r="AB179" i="17"/>
  <c r="AB178" i="17"/>
  <c r="AB177" i="17"/>
  <c r="AB176" i="17"/>
  <c r="AB175" i="17"/>
  <c r="AB174" i="17"/>
  <c r="AB173" i="17"/>
  <c r="AB172" i="17"/>
  <c r="AB171" i="17"/>
  <c r="AB170" i="17"/>
  <c r="AB169" i="17"/>
  <c r="AB168" i="17"/>
  <c r="AB167" i="17"/>
  <c r="AB166" i="17"/>
  <c r="AB164" i="17"/>
  <c r="AB163" i="17"/>
  <c r="AB162" i="17"/>
  <c r="AB161" i="17"/>
  <c r="AB160" i="17"/>
  <c r="AB159" i="17"/>
  <c r="AB158" i="17"/>
  <c r="AB157" i="17"/>
  <c r="AB156" i="17"/>
  <c r="AB155" i="17"/>
  <c r="AB154" i="17"/>
  <c r="AB153" i="17"/>
  <c r="AB165" i="17"/>
  <c r="W228" i="17"/>
  <c r="W224" i="17"/>
  <c r="W220" i="17"/>
  <c r="W216" i="17"/>
  <c r="W212" i="17"/>
  <c r="W208" i="17"/>
  <c r="W204" i="17"/>
  <c r="W200" i="17"/>
  <c r="W196" i="17"/>
  <c r="W192" i="17"/>
  <c r="W188" i="17"/>
  <c r="W184" i="17"/>
  <c r="W180" i="17"/>
  <c r="W176" i="17"/>
  <c r="W172" i="17"/>
  <c r="W168" i="17"/>
  <c r="W229" i="17"/>
  <c r="W225" i="17"/>
  <c r="W221" i="17"/>
  <c r="W217" i="17"/>
  <c r="W213" i="17"/>
  <c r="W209" i="17"/>
  <c r="W205" i="17"/>
  <c r="W201" i="17"/>
  <c r="W197" i="17"/>
  <c r="W193" i="17"/>
  <c r="W189" i="17"/>
  <c r="W185" i="17"/>
  <c r="W181" i="17"/>
  <c r="W177" i="17"/>
  <c r="W173" i="17"/>
  <c r="W169" i="17"/>
  <c r="W226" i="17"/>
  <c r="W222" i="17"/>
  <c r="W218" i="17"/>
  <c r="W214" i="17"/>
  <c r="W210" i="17"/>
  <c r="W206" i="17"/>
  <c r="W202" i="17"/>
  <c r="W198" i="17"/>
  <c r="W194" i="17"/>
  <c r="W190" i="17"/>
  <c r="W186" i="17"/>
  <c r="W182" i="17"/>
  <c r="W178" i="17"/>
  <c r="W174" i="17"/>
  <c r="W170" i="17"/>
  <c r="W166" i="17"/>
  <c r="W223" i="17"/>
  <c r="W215" i="17"/>
  <c r="W207" i="17"/>
  <c r="W199" i="17"/>
  <c r="W191" i="17"/>
  <c r="W183" i="17"/>
  <c r="W175" i="17"/>
  <c r="W167" i="17"/>
  <c r="W164" i="17"/>
  <c r="W162" i="17"/>
  <c r="W160" i="17"/>
  <c r="W158" i="17"/>
  <c r="W155" i="17"/>
  <c r="W187" i="17"/>
  <c r="W179" i="17"/>
  <c r="W165" i="17"/>
  <c r="W161" i="17"/>
  <c r="W153" i="17"/>
  <c r="W157" i="17"/>
  <c r="W156" i="17"/>
  <c r="W227" i="17"/>
  <c r="W219" i="17"/>
  <c r="W211" i="17"/>
  <c r="W203" i="17"/>
  <c r="W195" i="17"/>
  <c r="W171" i="17"/>
  <c r="W163" i="17"/>
  <c r="W159" i="17"/>
  <c r="W154" i="17"/>
  <c r="T229" i="17"/>
  <c r="T228" i="17"/>
  <c r="T227" i="17"/>
  <c r="T226" i="17"/>
  <c r="T225" i="17"/>
  <c r="T224" i="17"/>
  <c r="T223" i="17"/>
  <c r="T222" i="17"/>
  <c r="T221" i="17"/>
  <c r="T220" i="17"/>
  <c r="T219" i="17"/>
  <c r="T218" i="17"/>
  <c r="T217" i="17"/>
  <c r="T216" i="17"/>
  <c r="T215" i="17"/>
  <c r="T214" i="17"/>
  <c r="T213" i="17"/>
  <c r="T212" i="17"/>
  <c r="T211" i="17"/>
  <c r="T210" i="17"/>
  <c r="T209" i="17"/>
  <c r="T208" i="17"/>
  <c r="T207" i="17"/>
  <c r="T206" i="17"/>
  <c r="T205" i="17"/>
  <c r="T204" i="17"/>
  <c r="T203" i="17"/>
  <c r="T202" i="17"/>
  <c r="T201" i="17"/>
  <c r="T200" i="17"/>
  <c r="T199" i="17"/>
  <c r="T198" i="17"/>
  <c r="T197" i="17"/>
  <c r="T196" i="17"/>
  <c r="T195" i="17"/>
  <c r="T194" i="17"/>
  <c r="T193" i="17"/>
  <c r="T192" i="17"/>
  <c r="T191" i="17"/>
  <c r="T190" i="17"/>
  <c r="T189" i="17"/>
  <c r="T188" i="17"/>
  <c r="T187" i="17"/>
  <c r="T186" i="17"/>
  <c r="T185" i="17"/>
  <c r="T184" i="17"/>
  <c r="T183" i="17"/>
  <c r="T182" i="17"/>
  <c r="T181" i="17"/>
  <c r="T180" i="17"/>
  <c r="T179" i="17"/>
  <c r="T178" i="17"/>
  <c r="T177" i="17"/>
  <c r="T176" i="17"/>
  <c r="T175" i="17"/>
  <c r="T174" i="17"/>
  <c r="T173" i="17"/>
  <c r="T172" i="17"/>
  <c r="T171" i="17"/>
  <c r="T170" i="17"/>
  <c r="T169" i="17"/>
  <c r="T168" i="17"/>
  <c r="T167" i="17"/>
  <c r="T166" i="17"/>
  <c r="T165" i="17"/>
  <c r="T164" i="17"/>
  <c r="T163" i="17"/>
  <c r="T162" i="17"/>
  <c r="T161" i="17"/>
  <c r="T160" i="17"/>
  <c r="T159" i="17"/>
  <c r="T158" i="17"/>
  <c r="T157" i="17"/>
  <c r="T156" i="17"/>
  <c r="T155" i="17"/>
  <c r="T154" i="17"/>
  <c r="T153" i="17"/>
  <c r="Y229" i="17"/>
  <c r="Y228" i="17"/>
  <c r="Y227" i="17"/>
  <c r="Y226" i="17"/>
  <c r="Y225" i="17"/>
  <c r="Y224" i="17"/>
  <c r="Y223" i="17"/>
  <c r="Y222" i="17"/>
  <c r="Y221" i="17"/>
  <c r="Y220" i="17"/>
  <c r="Y219" i="17"/>
  <c r="Y218" i="17"/>
  <c r="Y217" i="17"/>
  <c r="Y216" i="17"/>
  <c r="Y215" i="17"/>
  <c r="Y214" i="17"/>
  <c r="Y213" i="17"/>
  <c r="Y212" i="17"/>
  <c r="Y211" i="17"/>
  <c r="Y210" i="17"/>
  <c r="Y209" i="17"/>
  <c r="Y208" i="17"/>
  <c r="Y207" i="17"/>
  <c r="Y206" i="17"/>
  <c r="Y205" i="17"/>
  <c r="Y204" i="17"/>
  <c r="Y203" i="17"/>
  <c r="Y202" i="17"/>
  <c r="Y201" i="17"/>
  <c r="Y200" i="17"/>
  <c r="Y199" i="17"/>
  <c r="Y198" i="17"/>
  <c r="Y197" i="17"/>
  <c r="Y196" i="17"/>
  <c r="Y195" i="17"/>
  <c r="Y194" i="17"/>
  <c r="Y193" i="17"/>
  <c r="Y192" i="17"/>
  <c r="Y191" i="17"/>
  <c r="Y190" i="17"/>
  <c r="Y189" i="17"/>
  <c r="Y188" i="17"/>
  <c r="Y187" i="17"/>
  <c r="Y186" i="17"/>
  <c r="Y185" i="17"/>
  <c r="Y184" i="17"/>
  <c r="Y183" i="17"/>
  <c r="Y182" i="17"/>
  <c r="Y181" i="17"/>
  <c r="Y180" i="17"/>
  <c r="Y179" i="17"/>
  <c r="Y178" i="17"/>
  <c r="Y177" i="17"/>
  <c r="Y176" i="17"/>
  <c r="Y175" i="17"/>
  <c r="Y174" i="17"/>
  <c r="Y173" i="17"/>
  <c r="Y172" i="17"/>
  <c r="Y171" i="17"/>
  <c r="Y170" i="17"/>
  <c r="Y169" i="17"/>
  <c r="Y168" i="17"/>
  <c r="Y167" i="17"/>
  <c r="Y166" i="17"/>
  <c r="Y165" i="17"/>
  <c r="Y164" i="17"/>
  <c r="Y163" i="17"/>
  <c r="Y162" i="17"/>
  <c r="Y161" i="17"/>
  <c r="Y160" i="17"/>
  <c r="Y159" i="17"/>
  <c r="Y158" i="17"/>
  <c r="Y157" i="17"/>
  <c r="Y156" i="17"/>
  <c r="Y155" i="17"/>
  <c r="Y154" i="17"/>
  <c r="Y153" i="17"/>
  <c r="AA303" i="17"/>
  <c r="AA299" i="17"/>
  <c r="AA295" i="17"/>
  <c r="AA291" i="17"/>
  <c r="AA287" i="17"/>
  <c r="AA283" i="17"/>
  <c r="AA279" i="17"/>
  <c r="AA275" i="17"/>
  <c r="AA271" i="17"/>
  <c r="AA267" i="17"/>
  <c r="AA263" i="17"/>
  <c r="AA259" i="17"/>
  <c r="AA255" i="17"/>
  <c r="AA251" i="17"/>
  <c r="AA247" i="17"/>
  <c r="AA243" i="17"/>
  <c r="AA305" i="17"/>
  <c r="AA293" i="17"/>
  <c r="AA289" i="17"/>
  <c r="AA281" i="17"/>
  <c r="AA277" i="17"/>
  <c r="AA273" i="17"/>
  <c r="AA265" i="17"/>
  <c r="AA257" i="17"/>
  <c r="AA249" i="17"/>
  <c r="AA245" i="17"/>
  <c r="AA241" i="17"/>
  <c r="AA240" i="17"/>
  <c r="AA238" i="17"/>
  <c r="AA236" i="17"/>
  <c r="AA234" i="17"/>
  <c r="AA232" i="17"/>
  <c r="AA230" i="17"/>
  <c r="AA298" i="17"/>
  <c r="AA290" i="17"/>
  <c r="AA282" i="17"/>
  <c r="AA278" i="17"/>
  <c r="AA274" i="17"/>
  <c r="AA270" i="17"/>
  <c r="AA266" i="17"/>
  <c r="AA304" i="17"/>
  <c r="AA300" i="17"/>
  <c r="AA296" i="17"/>
  <c r="AA292" i="17"/>
  <c r="AA288" i="17"/>
  <c r="AA284" i="17"/>
  <c r="AA280" i="17"/>
  <c r="AA276" i="17"/>
  <c r="AA272" i="17"/>
  <c r="AA268" i="17"/>
  <c r="AA264" i="17"/>
  <c r="AA260" i="17"/>
  <c r="AA256" i="17"/>
  <c r="AA252" i="17"/>
  <c r="AA248" i="17"/>
  <c r="AA244" i="17"/>
  <c r="AA301" i="17"/>
  <c r="AA297" i="17"/>
  <c r="AA285" i="17"/>
  <c r="AA269" i="17"/>
  <c r="AA261" i="17"/>
  <c r="AA253" i="17"/>
  <c r="AA242" i="17"/>
  <c r="AA239" i="17"/>
  <c r="AA237" i="17"/>
  <c r="AA235" i="17"/>
  <c r="AA233" i="17"/>
  <c r="AA231" i="17"/>
  <c r="AA306" i="17"/>
  <c r="AA302" i="17"/>
  <c r="AA294" i="17"/>
  <c r="AA286" i="17"/>
  <c r="AA258" i="17"/>
  <c r="AA250" i="17"/>
  <c r="AA262" i="17"/>
  <c r="AA254" i="17"/>
  <c r="AA246" i="17"/>
  <c r="X306" i="17"/>
  <c r="X305" i="17"/>
  <c r="X304" i="17"/>
  <c r="X303" i="17"/>
  <c r="X302" i="17"/>
  <c r="X301" i="17"/>
  <c r="X300" i="17"/>
  <c r="X299" i="17"/>
  <c r="X298" i="17"/>
  <c r="X297" i="17"/>
  <c r="X296" i="17"/>
  <c r="X295" i="17"/>
  <c r="X294" i="17"/>
  <c r="X293" i="17"/>
  <c r="X292" i="17"/>
  <c r="X291" i="17"/>
  <c r="X290" i="17"/>
  <c r="X289" i="17"/>
  <c r="X288" i="17"/>
  <c r="X287" i="17"/>
  <c r="X286" i="17"/>
  <c r="X285" i="17"/>
  <c r="X284" i="17"/>
  <c r="X283" i="17"/>
  <c r="X282" i="17"/>
  <c r="X281" i="17"/>
  <c r="X280" i="17"/>
  <c r="X279" i="17"/>
  <c r="X278" i="17"/>
  <c r="X277" i="17"/>
  <c r="X276" i="17"/>
  <c r="X275" i="17"/>
  <c r="X274" i="17"/>
  <c r="X273" i="17"/>
  <c r="X272" i="17"/>
  <c r="X271" i="17"/>
  <c r="X270" i="17"/>
  <c r="X269" i="17"/>
  <c r="X268" i="17"/>
  <c r="X267" i="17"/>
  <c r="X266" i="17"/>
  <c r="X265" i="17"/>
  <c r="X264" i="17"/>
  <c r="X263" i="17"/>
  <c r="X262" i="17"/>
  <c r="X261" i="17"/>
  <c r="X260" i="17"/>
  <c r="X259" i="17"/>
  <c r="X258" i="17"/>
  <c r="X257" i="17"/>
  <c r="X256" i="17"/>
  <c r="X255" i="17"/>
  <c r="X254" i="17"/>
  <c r="X253" i="17"/>
  <c r="X252" i="17"/>
  <c r="X251" i="17"/>
  <c r="X250" i="17"/>
  <c r="X249" i="17"/>
  <c r="X248" i="17"/>
  <c r="X247" i="17"/>
  <c r="X246" i="17"/>
  <c r="X245" i="17"/>
  <c r="X244" i="17"/>
  <c r="X243" i="17"/>
  <c r="X237" i="17"/>
  <c r="X233" i="17"/>
  <c r="X240" i="17"/>
  <c r="X236" i="17"/>
  <c r="X239" i="17"/>
  <c r="X235" i="17"/>
  <c r="X231" i="17"/>
  <c r="X242" i="17"/>
  <c r="X238" i="17"/>
  <c r="X234" i="17"/>
  <c r="X230" i="17"/>
  <c r="X241" i="17"/>
  <c r="X232" i="17"/>
  <c r="V306" i="17"/>
  <c r="V302" i="17"/>
  <c r="V298" i="17"/>
  <c r="V294" i="17"/>
  <c r="V290" i="17"/>
  <c r="V286" i="17"/>
  <c r="V282" i="17"/>
  <c r="V278" i="17"/>
  <c r="V274" i="17"/>
  <c r="V270" i="17"/>
  <c r="V266" i="17"/>
  <c r="V262" i="17"/>
  <c r="V258" i="17"/>
  <c r="V254" i="17"/>
  <c r="V250" i="17"/>
  <c r="V246" i="17"/>
  <c r="V304" i="17"/>
  <c r="V292" i="17"/>
  <c r="V288" i="17"/>
  <c r="V280" i="17"/>
  <c r="V276" i="17"/>
  <c r="V272" i="17"/>
  <c r="V256" i="17"/>
  <c r="V248" i="17"/>
  <c r="V244" i="17"/>
  <c r="V297" i="17"/>
  <c r="V289" i="17"/>
  <c r="V281" i="17"/>
  <c r="V277" i="17"/>
  <c r="V273" i="17"/>
  <c r="V269" i="17"/>
  <c r="V303" i="17"/>
  <c r="V299" i="17"/>
  <c r="V295" i="17"/>
  <c r="V291" i="17"/>
  <c r="V287" i="17"/>
  <c r="V283" i="17"/>
  <c r="V279" i="17"/>
  <c r="V275" i="17"/>
  <c r="V271" i="17"/>
  <c r="V267" i="17"/>
  <c r="V263" i="17"/>
  <c r="V259" i="17"/>
  <c r="V255" i="17"/>
  <c r="V251" i="17"/>
  <c r="V247" i="17"/>
  <c r="V243" i="17"/>
  <c r="V242" i="17"/>
  <c r="V241" i="17"/>
  <c r="V240" i="17"/>
  <c r="V239" i="17"/>
  <c r="V238" i="17"/>
  <c r="V237" i="17"/>
  <c r="V236" i="17"/>
  <c r="V235" i="17"/>
  <c r="V234" i="17"/>
  <c r="V233" i="17"/>
  <c r="V232" i="17"/>
  <c r="V231" i="17"/>
  <c r="V230" i="17"/>
  <c r="V300" i="17"/>
  <c r="V296" i="17"/>
  <c r="V284" i="17"/>
  <c r="V268" i="17"/>
  <c r="V264" i="17"/>
  <c r="V260" i="17"/>
  <c r="V252" i="17"/>
  <c r="V305" i="17"/>
  <c r="V301" i="17"/>
  <c r="V293" i="17"/>
  <c r="V285" i="17"/>
  <c r="V253" i="17"/>
  <c r="V265" i="17"/>
  <c r="V257" i="17"/>
  <c r="V249" i="17"/>
  <c r="V261" i="17"/>
  <c r="V245" i="17"/>
  <c r="W305" i="17"/>
  <c r="W301" i="17"/>
  <c r="W297" i="17"/>
  <c r="W293" i="17"/>
  <c r="W289" i="17"/>
  <c r="W285" i="17"/>
  <c r="W281" i="17"/>
  <c r="W277" i="17"/>
  <c r="W273" i="17"/>
  <c r="W269" i="17"/>
  <c r="W265" i="17"/>
  <c r="W261" i="17"/>
  <c r="W257" i="17"/>
  <c r="W253" i="17"/>
  <c r="W249" i="17"/>
  <c r="W245" i="17"/>
  <c r="W303" i="17"/>
  <c r="W287" i="17"/>
  <c r="W279" i="17"/>
  <c r="W275" i="17"/>
  <c r="W271" i="17"/>
  <c r="W255" i="17"/>
  <c r="W247" i="17"/>
  <c r="W243" i="17"/>
  <c r="W241" i="17"/>
  <c r="W240" i="17"/>
  <c r="W238" i="17"/>
  <c r="W236" i="17"/>
  <c r="W234" i="17"/>
  <c r="W232" i="17"/>
  <c r="W230" i="17"/>
  <c r="W304" i="17"/>
  <c r="W296" i="17"/>
  <c r="W288" i="17"/>
  <c r="W280" i="17"/>
  <c r="W276" i="17"/>
  <c r="W272" i="17"/>
  <c r="W268" i="17"/>
  <c r="W306" i="17"/>
  <c r="W302" i="17"/>
  <c r="W298" i="17"/>
  <c r="W294" i="17"/>
  <c r="W290" i="17"/>
  <c r="W286" i="17"/>
  <c r="W282" i="17"/>
  <c r="W278" i="17"/>
  <c r="W274" i="17"/>
  <c r="W270" i="17"/>
  <c r="W266" i="17"/>
  <c r="W262" i="17"/>
  <c r="W258" i="17"/>
  <c r="W254" i="17"/>
  <c r="W250" i="17"/>
  <c r="W246" i="17"/>
  <c r="W299" i="17"/>
  <c r="W295" i="17"/>
  <c r="W291" i="17"/>
  <c r="W283" i="17"/>
  <c r="W267" i="17"/>
  <c r="W263" i="17"/>
  <c r="W259" i="17"/>
  <c r="W251" i="17"/>
  <c r="W242" i="17"/>
  <c r="W239" i="17"/>
  <c r="W237" i="17"/>
  <c r="W235" i="17"/>
  <c r="W233" i="17"/>
  <c r="W231" i="17"/>
  <c r="W300" i="17"/>
  <c r="W292" i="17"/>
  <c r="W284" i="17"/>
  <c r="W244" i="17"/>
  <c r="W264" i="17"/>
  <c r="W256" i="17"/>
  <c r="W248" i="17"/>
  <c r="W260" i="17"/>
  <c r="W252" i="17"/>
  <c r="T306" i="17"/>
  <c r="T305" i="17"/>
  <c r="T304" i="17"/>
  <c r="T303" i="17"/>
  <c r="T302" i="17"/>
  <c r="T301" i="17"/>
  <c r="T300" i="17"/>
  <c r="T299" i="17"/>
  <c r="T298" i="17"/>
  <c r="T297" i="17"/>
  <c r="T296" i="17"/>
  <c r="T295" i="17"/>
  <c r="T294" i="17"/>
  <c r="T293" i="17"/>
  <c r="T292" i="17"/>
  <c r="T291" i="17"/>
  <c r="T290" i="17"/>
  <c r="T289" i="17"/>
  <c r="T288" i="17"/>
  <c r="T287" i="17"/>
  <c r="T286" i="17"/>
  <c r="T285" i="17"/>
  <c r="T284" i="17"/>
  <c r="T283" i="17"/>
  <c r="T282" i="17"/>
  <c r="T281" i="17"/>
  <c r="T280" i="17"/>
  <c r="T279" i="17"/>
  <c r="T278" i="17"/>
  <c r="T277" i="17"/>
  <c r="T276" i="17"/>
  <c r="T275" i="17"/>
  <c r="T274" i="17"/>
  <c r="T273" i="17"/>
  <c r="T272" i="17"/>
  <c r="T271" i="17"/>
  <c r="T270" i="17"/>
  <c r="T269" i="17"/>
  <c r="T268" i="17"/>
  <c r="T267" i="17"/>
  <c r="T266" i="17"/>
  <c r="T265" i="17"/>
  <c r="T264" i="17"/>
  <c r="T263" i="17"/>
  <c r="T262" i="17"/>
  <c r="T261" i="17"/>
  <c r="T260" i="17"/>
  <c r="T259" i="17"/>
  <c r="T258" i="17"/>
  <c r="T257" i="17"/>
  <c r="T256" i="17"/>
  <c r="T255" i="17"/>
  <c r="T254" i="17"/>
  <c r="T253" i="17"/>
  <c r="T252" i="17"/>
  <c r="T251" i="17"/>
  <c r="T250" i="17"/>
  <c r="T249" i="17"/>
  <c r="T248" i="17"/>
  <c r="T247" i="17"/>
  <c r="T246" i="17"/>
  <c r="T245" i="17"/>
  <c r="T244" i="17"/>
  <c r="T243" i="17"/>
  <c r="T239" i="17"/>
  <c r="T235" i="17"/>
  <c r="T242" i="17"/>
  <c r="T238" i="17"/>
  <c r="T234" i="17"/>
  <c r="T230" i="17"/>
  <c r="T241" i="17"/>
  <c r="T237" i="17"/>
  <c r="T233" i="17"/>
  <c r="T240" i="17"/>
  <c r="T236" i="17"/>
  <c r="T232" i="17"/>
  <c r="T231" i="17"/>
  <c r="Y306" i="17"/>
  <c r="Y305" i="17"/>
  <c r="Y304" i="17"/>
  <c r="Y303" i="17"/>
  <c r="Y302" i="17"/>
  <c r="Y301" i="17"/>
  <c r="Y300" i="17"/>
  <c r="Y299" i="17"/>
  <c r="Y298" i="17"/>
  <c r="Y297" i="17"/>
  <c r="Y296" i="17"/>
  <c r="Y295" i="17"/>
  <c r="Y294" i="17"/>
  <c r="Y293" i="17"/>
  <c r="Y292" i="17"/>
  <c r="Y291" i="17"/>
  <c r="Y290" i="17"/>
  <c r="Y289" i="17"/>
  <c r="Y288" i="17"/>
  <c r="Y287" i="17"/>
  <c r="Y286" i="17"/>
  <c r="Y285" i="17"/>
  <c r="Y284" i="17"/>
  <c r="Y283" i="17"/>
  <c r="Y282" i="17"/>
  <c r="Y281" i="17"/>
  <c r="Y280" i="17"/>
  <c r="Y279" i="17"/>
  <c r="Y278" i="17"/>
  <c r="Y277" i="17"/>
  <c r="Y276" i="17"/>
  <c r="Y275" i="17"/>
  <c r="Y274" i="17"/>
  <c r="Y273" i="17"/>
  <c r="Y272" i="17"/>
  <c r="Y271" i="17"/>
  <c r="Y270" i="17"/>
  <c r="Y269" i="17"/>
  <c r="Y268" i="17"/>
  <c r="Y267" i="17"/>
  <c r="Y266" i="17"/>
  <c r="Y265" i="17"/>
  <c r="Y264" i="17"/>
  <c r="Y263" i="17"/>
  <c r="Y262" i="17"/>
  <c r="Y261" i="17"/>
  <c r="Y260" i="17"/>
  <c r="Y259" i="17"/>
  <c r="Y258" i="17"/>
  <c r="Y257" i="17"/>
  <c r="Y256" i="17"/>
  <c r="Y255" i="17"/>
  <c r="Y254" i="17"/>
  <c r="Y253" i="17"/>
  <c r="Y252" i="17"/>
  <c r="Y251" i="17"/>
  <c r="Y250" i="17"/>
  <c r="Y249" i="17"/>
  <c r="Y248" i="17"/>
  <c r="Y247" i="17"/>
  <c r="Y246" i="17"/>
  <c r="Y245" i="17"/>
  <c r="Y244" i="17"/>
  <c r="Y243" i="17"/>
  <c r="Y242" i="17"/>
  <c r="Y241" i="17"/>
  <c r="Y240" i="17"/>
  <c r="Y239" i="17"/>
  <c r="Y238" i="17"/>
  <c r="Y237" i="17"/>
  <c r="Y236" i="17"/>
  <c r="Y235" i="17"/>
  <c r="Y234" i="17"/>
  <c r="Y233" i="17"/>
  <c r="Y232" i="17"/>
  <c r="Y231" i="17"/>
  <c r="Y230" i="17"/>
  <c r="U306" i="17"/>
  <c r="U305" i="17"/>
  <c r="U304" i="17"/>
  <c r="U303" i="17"/>
  <c r="U302" i="17"/>
  <c r="U301" i="17"/>
  <c r="U300" i="17"/>
  <c r="U299" i="17"/>
  <c r="U298" i="17"/>
  <c r="U297" i="17"/>
  <c r="U296" i="17"/>
  <c r="U295" i="17"/>
  <c r="U294" i="17"/>
  <c r="U293" i="17"/>
  <c r="U292" i="17"/>
  <c r="U291" i="17"/>
  <c r="U290" i="17"/>
  <c r="U289" i="17"/>
  <c r="U288" i="17"/>
  <c r="U287" i="17"/>
  <c r="U286" i="17"/>
  <c r="U285" i="17"/>
  <c r="U284" i="17"/>
  <c r="U283" i="17"/>
  <c r="U282" i="17"/>
  <c r="U281" i="17"/>
  <c r="U280" i="17"/>
  <c r="U279" i="17"/>
  <c r="U278" i="17"/>
  <c r="U277" i="17"/>
  <c r="U276" i="17"/>
  <c r="U275" i="17"/>
  <c r="U274" i="17"/>
  <c r="U273" i="17"/>
  <c r="U272" i="17"/>
  <c r="U271" i="17"/>
  <c r="U270" i="17"/>
  <c r="U269" i="17"/>
  <c r="U268" i="17"/>
  <c r="U267" i="17"/>
  <c r="U266" i="17"/>
  <c r="U265" i="17"/>
  <c r="U264" i="17"/>
  <c r="U263" i="17"/>
  <c r="U262" i="17"/>
  <c r="U261" i="17"/>
  <c r="U260" i="17"/>
  <c r="U259" i="17"/>
  <c r="U258" i="17"/>
  <c r="U257" i="17"/>
  <c r="U256" i="17"/>
  <c r="U255" i="17"/>
  <c r="U254" i="17"/>
  <c r="U253" i="17"/>
  <c r="U252" i="17"/>
  <c r="U251" i="17"/>
  <c r="U250" i="17"/>
  <c r="U249" i="17"/>
  <c r="U248" i="17"/>
  <c r="U247" i="17"/>
  <c r="U246" i="17"/>
  <c r="U245" i="17"/>
  <c r="U244" i="17"/>
  <c r="U243" i="17"/>
  <c r="U242" i="17"/>
  <c r="U241" i="17"/>
  <c r="U240" i="17"/>
  <c r="U239" i="17"/>
  <c r="U238" i="17"/>
  <c r="U237" i="17"/>
  <c r="U236" i="17"/>
  <c r="U235" i="17"/>
  <c r="U234" i="17"/>
  <c r="U233" i="17"/>
  <c r="U232" i="17"/>
  <c r="U231" i="17"/>
  <c r="U230" i="17"/>
  <c r="Z304" i="17"/>
  <c r="Z300" i="17"/>
  <c r="Z296" i="17"/>
  <c r="Z292" i="17"/>
  <c r="Z288" i="17"/>
  <c r="Z284" i="17"/>
  <c r="Z280" i="17"/>
  <c r="Z276" i="17"/>
  <c r="Z272" i="17"/>
  <c r="Z268" i="17"/>
  <c r="Z264" i="17"/>
  <c r="Z260" i="17"/>
  <c r="Z256" i="17"/>
  <c r="Z252" i="17"/>
  <c r="Z248" i="17"/>
  <c r="Z244" i="17"/>
  <c r="Z294" i="17"/>
  <c r="Z290" i="17"/>
  <c r="Z282" i="17"/>
  <c r="Z278" i="17"/>
  <c r="Z274" i="17"/>
  <c r="Z266" i="17"/>
  <c r="Z258" i="17"/>
  <c r="Z250" i="17"/>
  <c r="Z246" i="17"/>
  <c r="Z299" i="17"/>
  <c r="Z291" i="17"/>
  <c r="Z283" i="17"/>
  <c r="Z279" i="17"/>
  <c r="Z275" i="17"/>
  <c r="Z271" i="17"/>
  <c r="Z267" i="17"/>
  <c r="Z305" i="17"/>
  <c r="Z301" i="17"/>
  <c r="Z297" i="17"/>
  <c r="Z293" i="17"/>
  <c r="Z289" i="17"/>
  <c r="Z285" i="17"/>
  <c r="Z281" i="17"/>
  <c r="Z277" i="17"/>
  <c r="Z273" i="17"/>
  <c r="Z269" i="17"/>
  <c r="Z265" i="17"/>
  <c r="Z261" i="17"/>
  <c r="Z257" i="17"/>
  <c r="Z253" i="17"/>
  <c r="Z249" i="17"/>
  <c r="Z245" i="17"/>
  <c r="Z242" i="17"/>
  <c r="Z241" i="17"/>
  <c r="Z240" i="17"/>
  <c r="Z239" i="17"/>
  <c r="Z238" i="17"/>
  <c r="Z237" i="17"/>
  <c r="Z236" i="17"/>
  <c r="Z235" i="17"/>
  <c r="Z234" i="17"/>
  <c r="Z233" i="17"/>
  <c r="Z232" i="17"/>
  <c r="Z231" i="17"/>
  <c r="Z230" i="17"/>
  <c r="Z306" i="17"/>
  <c r="Z302" i="17"/>
  <c r="Z298" i="17"/>
  <c r="Z286" i="17"/>
  <c r="Z270" i="17"/>
  <c r="Z262" i="17"/>
  <c r="Z254" i="17"/>
  <c r="Z303" i="17"/>
  <c r="Z295" i="17"/>
  <c r="Z287" i="17"/>
  <c r="Z259" i="17"/>
  <c r="Z251" i="17"/>
  <c r="Z263" i="17"/>
  <c r="Z255" i="17"/>
  <c r="Z247" i="17"/>
  <c r="Z243" i="17"/>
  <c r="AB306" i="17"/>
  <c r="AB305" i="17"/>
  <c r="AB304" i="17"/>
  <c r="AB303" i="17"/>
  <c r="AB302" i="17"/>
  <c r="AB301" i="17"/>
  <c r="AB300" i="17"/>
  <c r="AB299" i="17"/>
  <c r="AB298" i="17"/>
  <c r="AB297" i="17"/>
  <c r="AB296" i="17"/>
  <c r="AB295" i="17"/>
  <c r="AB294" i="17"/>
  <c r="AB293" i="17"/>
  <c r="AB292" i="17"/>
  <c r="AB291" i="17"/>
  <c r="AB290" i="17"/>
  <c r="AB289" i="17"/>
  <c r="AB288" i="17"/>
  <c r="AB287" i="17"/>
  <c r="AB286" i="17"/>
  <c r="AB285" i="17"/>
  <c r="AB284" i="17"/>
  <c r="AB283" i="17"/>
  <c r="AB282" i="17"/>
  <c r="AB281" i="17"/>
  <c r="AB280" i="17"/>
  <c r="AB279" i="17"/>
  <c r="AB278" i="17"/>
  <c r="AB277" i="17"/>
  <c r="AB276" i="17"/>
  <c r="AB275" i="17"/>
  <c r="AB274" i="17"/>
  <c r="AB273" i="17"/>
  <c r="AB272" i="17"/>
  <c r="AB271" i="17"/>
  <c r="AB270" i="17"/>
  <c r="AB269" i="17"/>
  <c r="AB268" i="17"/>
  <c r="AB267" i="17"/>
  <c r="AB266" i="17"/>
  <c r="AB265" i="17"/>
  <c r="AB264" i="17"/>
  <c r="AB263" i="17"/>
  <c r="AB262" i="17"/>
  <c r="AB261" i="17"/>
  <c r="AB260" i="17"/>
  <c r="AB259" i="17"/>
  <c r="AB258" i="17"/>
  <c r="AB257" i="17"/>
  <c r="AB256" i="17"/>
  <c r="AB255" i="17"/>
  <c r="AB254" i="17"/>
  <c r="AB253" i="17"/>
  <c r="AB252" i="17"/>
  <c r="AB251" i="17"/>
  <c r="AB250" i="17"/>
  <c r="AB249" i="17"/>
  <c r="AB248" i="17"/>
  <c r="AB247" i="17"/>
  <c r="AB246" i="17"/>
  <c r="AB245" i="17"/>
  <c r="AB244" i="17"/>
  <c r="AB243" i="17"/>
  <c r="AB242" i="17"/>
  <c r="AB234" i="17"/>
  <c r="AB230" i="17"/>
  <c r="AB237" i="17"/>
  <c r="AB233" i="17"/>
  <c r="AB240" i="17"/>
  <c r="AB236" i="17"/>
  <c r="AB232" i="17"/>
  <c r="AB239" i="17"/>
  <c r="AB235" i="17"/>
  <c r="AB231" i="17"/>
  <c r="AB238" i="17"/>
  <c r="AB241" i="17"/>
  <c r="V332" i="17"/>
  <c r="V329" i="17"/>
  <c r="V327" i="17"/>
  <c r="V326" i="17"/>
  <c r="V324" i="17"/>
  <c r="V323" i="17"/>
  <c r="V321" i="17"/>
  <c r="V320" i="17"/>
  <c r="V396" i="17"/>
  <c r="V395" i="17"/>
  <c r="V394" i="17"/>
  <c r="V393" i="17"/>
  <c r="V392" i="17"/>
  <c r="V391" i="17"/>
  <c r="V390" i="17"/>
  <c r="V389" i="17"/>
  <c r="V388" i="17"/>
  <c r="V387" i="17"/>
  <c r="V386" i="17"/>
  <c r="V385" i="17"/>
  <c r="V384" i="17"/>
  <c r="V383" i="17"/>
  <c r="V382" i="17"/>
  <c r="V381" i="17"/>
  <c r="V380" i="17"/>
  <c r="V379" i="17"/>
  <c r="V378" i="17"/>
  <c r="V377" i="17"/>
  <c r="V376" i="17"/>
  <c r="V375" i="17"/>
  <c r="V374" i="17"/>
  <c r="V373" i="17"/>
  <c r="V372" i="17"/>
  <c r="V371" i="17"/>
  <c r="V370" i="17"/>
  <c r="V369" i="17"/>
  <c r="V368" i="17"/>
  <c r="V367" i="17"/>
  <c r="V366" i="17"/>
  <c r="V365" i="17"/>
  <c r="V364" i="17"/>
  <c r="V363" i="17"/>
  <c r="V362" i="17"/>
  <c r="V361" i="17"/>
  <c r="V360" i="17"/>
  <c r="V359" i="17"/>
  <c r="V358" i="17"/>
  <c r="V357" i="17"/>
  <c r="V356" i="17"/>
  <c r="V355" i="17"/>
  <c r="V354" i="17"/>
  <c r="V353" i="17"/>
  <c r="V352" i="17"/>
  <c r="V351" i="17"/>
  <c r="V350" i="17"/>
  <c r="V349" i="17"/>
  <c r="V348" i="17"/>
  <c r="V347" i="17"/>
  <c r="V346" i="17"/>
  <c r="V345" i="17"/>
  <c r="V344" i="17"/>
  <c r="V343" i="17"/>
  <c r="V342" i="17"/>
  <c r="V341" i="17"/>
  <c r="V340" i="17"/>
  <c r="V339" i="17"/>
  <c r="V338" i="17"/>
  <c r="V337" i="17"/>
  <c r="V336" i="17"/>
  <c r="V335" i="17"/>
  <c r="V334" i="17"/>
  <c r="V333" i="17"/>
  <c r="V331" i="17"/>
  <c r="V330" i="17"/>
  <c r="V328" i="17"/>
  <c r="V325" i="17"/>
  <c r="V322" i="17"/>
  <c r="W395" i="17"/>
  <c r="W394" i="17"/>
  <c r="W393" i="17"/>
  <c r="W396" i="17"/>
  <c r="W392" i="17"/>
  <c r="W390" i="17"/>
  <c r="W388" i="17"/>
  <c r="W386" i="17"/>
  <c r="W384" i="17"/>
  <c r="W382" i="17"/>
  <c r="W380" i="17"/>
  <c r="W378" i="17"/>
  <c r="W376" i="17"/>
  <c r="W374" i="17"/>
  <c r="W372" i="17"/>
  <c r="W370" i="17"/>
  <c r="W368" i="17"/>
  <c r="W362" i="17"/>
  <c r="W356" i="17"/>
  <c r="W352" i="17"/>
  <c r="W350" i="17"/>
  <c r="W346" i="17"/>
  <c r="W342" i="17"/>
  <c r="W338" i="17"/>
  <c r="W334" i="17"/>
  <c r="W330" i="17"/>
  <c r="W328" i="17"/>
  <c r="W324" i="17"/>
  <c r="W320" i="17"/>
  <c r="W366" i="17"/>
  <c r="W364" i="17"/>
  <c r="W360" i="17"/>
  <c r="W358" i="17"/>
  <c r="W354" i="17"/>
  <c r="W348" i="17"/>
  <c r="W344" i="17"/>
  <c r="W340" i="17"/>
  <c r="W336" i="17"/>
  <c r="W332" i="17"/>
  <c r="W326" i="17"/>
  <c r="W322" i="17"/>
  <c r="W391" i="17"/>
  <c r="W389" i="17"/>
  <c r="W387" i="17"/>
  <c r="W385" i="17"/>
  <c r="W383" i="17"/>
  <c r="W379" i="17"/>
  <c r="W375" i="17"/>
  <c r="W371" i="17"/>
  <c r="W367" i="17"/>
  <c r="W363" i="17"/>
  <c r="W359" i="17"/>
  <c r="W355" i="17"/>
  <c r="W351" i="17"/>
  <c r="W347" i="17"/>
  <c r="W343" i="17"/>
  <c r="W339" i="17"/>
  <c r="W335" i="17"/>
  <c r="W331" i="17"/>
  <c r="W327" i="17"/>
  <c r="W323" i="17"/>
  <c r="W377" i="17"/>
  <c r="W373" i="17"/>
  <c r="W369" i="17"/>
  <c r="W365" i="17"/>
  <c r="W361" i="17"/>
  <c r="W357" i="17"/>
  <c r="W353" i="17"/>
  <c r="W349" i="17"/>
  <c r="W345" i="17"/>
  <c r="W341" i="17"/>
  <c r="W337" i="17"/>
  <c r="W333" i="17"/>
  <c r="W329" i="17"/>
  <c r="W325" i="17"/>
  <c r="W321" i="17"/>
  <c r="W381" i="17"/>
  <c r="T393" i="17"/>
  <c r="T391" i="17"/>
  <c r="T387" i="17"/>
  <c r="T383" i="17"/>
  <c r="T381" i="17"/>
  <c r="T379" i="17"/>
  <c r="T371" i="17"/>
  <c r="T367" i="17"/>
  <c r="T361" i="17"/>
  <c r="T357" i="17"/>
  <c r="T351" i="17"/>
  <c r="T345" i="17"/>
  <c r="T341" i="17"/>
  <c r="T337" i="17"/>
  <c r="T333" i="17"/>
  <c r="T331" i="17"/>
  <c r="T325" i="17"/>
  <c r="T323" i="17"/>
  <c r="T394" i="17"/>
  <c r="T390" i="17"/>
  <c r="T388" i="17"/>
  <c r="T386" i="17"/>
  <c r="T384" i="17"/>
  <c r="T382" i="17"/>
  <c r="T380" i="17"/>
  <c r="T378" i="17"/>
  <c r="T376" i="17"/>
  <c r="T374" i="17"/>
  <c r="T372" i="17"/>
  <c r="T370" i="17"/>
  <c r="T368" i="17"/>
  <c r="T366" i="17"/>
  <c r="T364" i="17"/>
  <c r="T362" i="17"/>
  <c r="T360" i="17"/>
  <c r="T358" i="17"/>
  <c r="T356" i="17"/>
  <c r="T354" i="17"/>
  <c r="T352" i="17"/>
  <c r="T350" i="17"/>
  <c r="T348" i="17"/>
  <c r="T346" i="17"/>
  <c r="T344" i="17"/>
  <c r="T342" i="17"/>
  <c r="T340" i="17"/>
  <c r="T338" i="17"/>
  <c r="T336" i="17"/>
  <c r="T334" i="17"/>
  <c r="T332" i="17"/>
  <c r="T330" i="17"/>
  <c r="T328" i="17"/>
  <c r="T326" i="17"/>
  <c r="T324" i="17"/>
  <c r="T322" i="17"/>
  <c r="T320" i="17"/>
  <c r="T396" i="17"/>
  <c r="T392" i="17"/>
  <c r="T389" i="17"/>
  <c r="T385" i="17"/>
  <c r="T377" i="17"/>
  <c r="T375" i="17"/>
  <c r="T373" i="17"/>
  <c r="T369" i="17"/>
  <c r="T365" i="17"/>
  <c r="T363" i="17"/>
  <c r="T359" i="17"/>
  <c r="T355" i="17"/>
  <c r="T353" i="17"/>
  <c r="T349" i="17"/>
  <c r="T347" i="17"/>
  <c r="T343" i="17"/>
  <c r="T339" i="17"/>
  <c r="T335" i="17"/>
  <c r="T329" i="17"/>
  <c r="T327" i="17"/>
  <c r="T321" i="17"/>
  <c r="T395" i="17"/>
  <c r="Y396" i="17"/>
  <c r="Y395" i="17"/>
  <c r="Y394" i="17"/>
  <c r="Y393" i="17"/>
  <c r="Y392" i="17"/>
  <c r="Y391" i="17"/>
  <c r="Y390" i="17"/>
  <c r="Y389" i="17"/>
  <c r="Y388" i="17"/>
  <c r="Y387" i="17"/>
  <c r="Y386" i="17"/>
  <c r="Y385" i="17"/>
  <c r="Y384" i="17"/>
  <c r="Y383" i="17"/>
  <c r="Y382" i="17"/>
  <c r="Y381" i="17"/>
  <c r="Y380" i="17"/>
  <c r="Y379" i="17"/>
  <c r="Y378" i="17"/>
  <c r="Y377" i="17"/>
  <c r="Y376" i="17"/>
  <c r="Y375" i="17"/>
  <c r="Y374" i="17"/>
  <c r="Y373" i="17"/>
  <c r="Y372" i="17"/>
  <c r="Y371" i="17"/>
  <c r="Y370" i="17"/>
  <c r="Y369" i="17"/>
  <c r="Y368" i="17"/>
  <c r="Y367" i="17"/>
  <c r="Y366" i="17"/>
  <c r="Y365" i="17"/>
  <c r="Y364" i="17"/>
  <c r="Y363" i="17"/>
  <c r="Y362" i="17"/>
  <c r="Y361" i="17"/>
  <c r="Y360" i="17"/>
  <c r="Y359" i="17"/>
  <c r="Y358" i="17"/>
  <c r="Y357" i="17"/>
  <c r="Y356" i="17"/>
  <c r="Y355" i="17"/>
  <c r="Y354" i="17"/>
  <c r="Y353" i="17"/>
  <c r="Y352" i="17"/>
  <c r="Y351" i="17"/>
  <c r="Y350" i="17"/>
  <c r="Y349" i="17"/>
  <c r="Y348" i="17"/>
  <c r="Y347" i="17"/>
  <c r="Y346" i="17"/>
  <c r="Y345" i="17"/>
  <c r="Y344" i="17"/>
  <c r="Y343" i="17"/>
  <c r="Y342" i="17"/>
  <c r="Y341" i="17"/>
  <c r="Y340" i="17"/>
  <c r="Y339" i="17"/>
  <c r="Y338" i="17"/>
  <c r="Y337" i="17"/>
  <c r="Y336" i="17"/>
  <c r="Y335" i="17"/>
  <c r="Y334" i="17"/>
  <c r="Y333" i="17"/>
  <c r="Y332" i="17"/>
  <c r="Y331" i="17"/>
  <c r="Y330" i="17"/>
  <c r="Y329" i="17"/>
  <c r="Y328" i="17"/>
  <c r="Y327" i="17"/>
  <c r="Y326" i="17"/>
  <c r="Y325" i="17"/>
  <c r="Y324" i="17"/>
  <c r="Y323" i="17"/>
  <c r="Y322" i="17"/>
  <c r="Y321" i="17"/>
  <c r="Y320" i="17"/>
  <c r="Z329" i="17"/>
  <c r="Z326" i="17"/>
  <c r="Z323" i="17"/>
  <c r="Z320" i="17"/>
  <c r="Z396" i="17"/>
  <c r="Z395" i="17"/>
  <c r="Z394" i="17"/>
  <c r="Z393" i="17"/>
  <c r="Z392" i="17"/>
  <c r="Z391" i="17"/>
  <c r="Z390" i="17"/>
  <c r="Z389" i="17"/>
  <c r="Z388" i="17"/>
  <c r="Z387" i="17"/>
  <c r="Z386" i="17"/>
  <c r="Z385" i="17"/>
  <c r="Z384" i="17"/>
  <c r="Z383" i="17"/>
  <c r="Z382" i="17"/>
  <c r="Z381" i="17"/>
  <c r="Z380" i="17"/>
  <c r="Z379" i="17"/>
  <c r="Z378" i="17"/>
  <c r="Z377" i="17"/>
  <c r="Z376" i="17"/>
  <c r="Z375" i="17"/>
  <c r="Z374" i="17"/>
  <c r="Z373" i="17"/>
  <c r="Z372" i="17"/>
  <c r="Z371" i="17"/>
  <c r="Z370" i="17"/>
  <c r="Z369" i="17"/>
  <c r="Z368" i="17"/>
  <c r="Z367" i="17"/>
  <c r="Z366" i="17"/>
  <c r="Z365" i="17"/>
  <c r="Z364" i="17"/>
  <c r="Z363" i="17"/>
  <c r="Z362" i="17"/>
  <c r="Z361" i="17"/>
  <c r="Z360" i="17"/>
  <c r="Z359" i="17"/>
  <c r="Z358" i="17"/>
  <c r="Z357" i="17"/>
  <c r="Z356" i="17"/>
  <c r="Z355" i="17"/>
  <c r="Z354" i="17"/>
  <c r="Z353" i="17"/>
  <c r="Z352" i="17"/>
  <c r="Z351" i="17"/>
  <c r="Z350" i="17"/>
  <c r="Z349" i="17"/>
  <c r="Z348" i="17"/>
  <c r="Z347" i="17"/>
  <c r="Z346" i="17"/>
  <c r="Z345" i="17"/>
  <c r="Z344" i="17"/>
  <c r="Z343" i="17"/>
  <c r="Z342" i="17"/>
  <c r="Z341" i="17"/>
  <c r="Z340" i="17"/>
  <c r="Z339" i="17"/>
  <c r="Z338" i="17"/>
  <c r="Z337" i="17"/>
  <c r="Z336" i="17"/>
  <c r="Z335" i="17"/>
  <c r="Z334" i="17"/>
  <c r="Z333" i="17"/>
  <c r="Z332" i="17"/>
  <c r="Z331" i="17"/>
  <c r="Z330" i="17"/>
  <c r="Z328" i="17"/>
  <c r="Z327" i="17"/>
  <c r="Z325" i="17"/>
  <c r="Z324" i="17"/>
  <c r="Z322" i="17"/>
  <c r="Z321" i="17"/>
  <c r="AB395" i="17"/>
  <c r="AB391" i="17"/>
  <c r="AB387" i="17"/>
  <c r="AB383" i="17"/>
  <c r="AB379" i="17"/>
  <c r="AB375" i="17"/>
  <c r="AB373" i="17"/>
  <c r="AB371" i="17"/>
  <c r="AB367" i="17"/>
  <c r="AB363" i="17"/>
  <c r="AB361" i="17"/>
  <c r="AB357" i="17"/>
  <c r="AB353" i="17"/>
  <c r="AB351" i="17"/>
  <c r="AB347" i="17"/>
  <c r="AB345" i="17"/>
  <c r="AB341" i="17"/>
  <c r="AB337" i="17"/>
  <c r="AB333" i="17"/>
  <c r="AB327" i="17"/>
  <c r="AB325" i="17"/>
  <c r="AB396" i="17"/>
  <c r="AB392" i="17"/>
  <c r="AB390" i="17"/>
  <c r="AB388" i="17"/>
  <c r="AB386" i="17"/>
  <c r="AB384" i="17"/>
  <c r="AB382" i="17"/>
  <c r="AB380" i="17"/>
  <c r="AB378" i="17"/>
  <c r="AB376" i="17"/>
  <c r="AB374" i="17"/>
  <c r="AB372" i="17"/>
  <c r="AB370" i="17"/>
  <c r="AB368" i="17"/>
  <c r="AB366" i="17"/>
  <c r="AB364" i="17"/>
  <c r="AB362" i="17"/>
  <c r="AB360" i="17"/>
  <c r="AB358" i="17"/>
  <c r="AB356" i="17"/>
  <c r="AB354" i="17"/>
  <c r="AB352" i="17"/>
  <c r="AB350" i="17"/>
  <c r="AB348" i="17"/>
  <c r="AB346" i="17"/>
  <c r="AB344" i="17"/>
  <c r="AB342" i="17"/>
  <c r="AB340" i="17"/>
  <c r="AB338" i="17"/>
  <c r="AB336" i="17"/>
  <c r="AB334" i="17"/>
  <c r="AB332" i="17"/>
  <c r="AB330" i="17"/>
  <c r="AB328" i="17"/>
  <c r="AB326" i="17"/>
  <c r="AB324" i="17"/>
  <c r="AB322" i="17"/>
  <c r="AB320" i="17"/>
  <c r="AB394" i="17"/>
  <c r="AB389" i="17"/>
  <c r="AB385" i="17"/>
  <c r="AB381" i="17"/>
  <c r="AB377" i="17"/>
  <c r="AB369" i="17"/>
  <c r="AB365" i="17"/>
  <c r="AB359" i="17"/>
  <c r="AB355" i="17"/>
  <c r="AB349" i="17"/>
  <c r="AB343" i="17"/>
  <c r="AB339" i="17"/>
  <c r="AB335" i="17"/>
  <c r="AB331" i="17"/>
  <c r="AB329" i="17"/>
  <c r="AB323" i="17"/>
  <c r="AB321" i="17"/>
  <c r="AB393" i="17"/>
  <c r="U396" i="17"/>
  <c r="U395" i="17"/>
  <c r="U394" i="17"/>
  <c r="U393" i="17"/>
  <c r="U392" i="17"/>
  <c r="U391" i="17"/>
  <c r="U390" i="17"/>
  <c r="U389" i="17"/>
  <c r="U388" i="17"/>
  <c r="U387" i="17"/>
  <c r="U386" i="17"/>
  <c r="U385" i="17"/>
  <c r="U384" i="17"/>
  <c r="U383" i="17"/>
  <c r="U382" i="17"/>
  <c r="U381" i="17"/>
  <c r="U380" i="17"/>
  <c r="U379" i="17"/>
  <c r="U378" i="17"/>
  <c r="U377" i="17"/>
  <c r="U376" i="17"/>
  <c r="U375" i="17"/>
  <c r="U374" i="17"/>
  <c r="U373" i="17"/>
  <c r="U372" i="17"/>
  <c r="U371" i="17"/>
  <c r="U370" i="17"/>
  <c r="U369" i="17"/>
  <c r="U368" i="17"/>
  <c r="U367" i="17"/>
  <c r="U366" i="17"/>
  <c r="U365" i="17"/>
  <c r="U364" i="17"/>
  <c r="U363" i="17"/>
  <c r="U362" i="17"/>
  <c r="U361" i="17"/>
  <c r="U360" i="17"/>
  <c r="U359" i="17"/>
  <c r="U358" i="17"/>
  <c r="U357" i="17"/>
  <c r="U356" i="17"/>
  <c r="U355" i="17"/>
  <c r="U354" i="17"/>
  <c r="U353" i="17"/>
  <c r="U352" i="17"/>
  <c r="U351" i="17"/>
  <c r="U350" i="17"/>
  <c r="U349" i="17"/>
  <c r="U348" i="17"/>
  <c r="U347" i="17"/>
  <c r="U346" i="17"/>
  <c r="U345" i="17"/>
  <c r="U344" i="17"/>
  <c r="U343" i="17"/>
  <c r="U342" i="17"/>
  <c r="U341" i="17"/>
  <c r="U340" i="17"/>
  <c r="U339" i="17"/>
  <c r="U338" i="17"/>
  <c r="U337" i="17"/>
  <c r="U336" i="17"/>
  <c r="U335" i="17"/>
  <c r="U334" i="17"/>
  <c r="U333" i="17"/>
  <c r="U332" i="17"/>
  <c r="U331" i="17"/>
  <c r="U330" i="17"/>
  <c r="U329" i="17"/>
  <c r="U328" i="17"/>
  <c r="U327" i="17"/>
  <c r="U326" i="17"/>
  <c r="U325" i="17"/>
  <c r="U324" i="17"/>
  <c r="U323" i="17"/>
  <c r="U322" i="17"/>
  <c r="U321" i="17"/>
  <c r="U320" i="17"/>
  <c r="AA396" i="17"/>
  <c r="AA395" i="17"/>
  <c r="AA393" i="17"/>
  <c r="AA391" i="17"/>
  <c r="AA394" i="17"/>
  <c r="AA392" i="17"/>
  <c r="AA389" i="17"/>
  <c r="AA387" i="17"/>
  <c r="AA385" i="17"/>
  <c r="AA383" i="17"/>
  <c r="AA381" i="17"/>
  <c r="AA379" i="17"/>
  <c r="AA377" i="17"/>
  <c r="AA375" i="17"/>
  <c r="AA373" i="17"/>
  <c r="AA371" i="17"/>
  <c r="AA363" i="17"/>
  <c r="AA357" i="17"/>
  <c r="AA353" i="17"/>
  <c r="AA351" i="17"/>
  <c r="AA347" i="17"/>
  <c r="AA343" i="17"/>
  <c r="AA339" i="17"/>
  <c r="AA335" i="17"/>
  <c r="AA331" i="17"/>
  <c r="AA329" i="17"/>
  <c r="AA325" i="17"/>
  <c r="AA321" i="17"/>
  <c r="AA369" i="17"/>
  <c r="AA367" i="17"/>
  <c r="AA365" i="17"/>
  <c r="AA361" i="17"/>
  <c r="AA359" i="17"/>
  <c r="AA355" i="17"/>
  <c r="AA349" i="17"/>
  <c r="AA345" i="17"/>
  <c r="AA341" i="17"/>
  <c r="AA337" i="17"/>
  <c r="AA333" i="17"/>
  <c r="AA327" i="17"/>
  <c r="AA323" i="17"/>
  <c r="AA390" i="17"/>
  <c r="AA388" i="17"/>
  <c r="AA386" i="17"/>
  <c r="AA384" i="17"/>
  <c r="AA382" i="17"/>
  <c r="AA378" i="17"/>
  <c r="AA374" i="17"/>
  <c r="AA370" i="17"/>
  <c r="AA366" i="17"/>
  <c r="AA362" i="17"/>
  <c r="AA358" i="17"/>
  <c r="AA354" i="17"/>
  <c r="AA350" i="17"/>
  <c r="AA346" i="17"/>
  <c r="AA342" i="17"/>
  <c r="AA338" i="17"/>
  <c r="AA334" i="17"/>
  <c r="AA330" i="17"/>
  <c r="AA326" i="17"/>
  <c r="AA322" i="17"/>
  <c r="AA380" i="17"/>
  <c r="AA376" i="17"/>
  <c r="AA372" i="17"/>
  <c r="AA368" i="17"/>
  <c r="AA364" i="17"/>
  <c r="AA360" i="17"/>
  <c r="AA356" i="17"/>
  <c r="AA352" i="17"/>
  <c r="AA348" i="17"/>
  <c r="AA344" i="17"/>
  <c r="AA340" i="17"/>
  <c r="AA336" i="17"/>
  <c r="AA332" i="17"/>
  <c r="AA328" i="17"/>
  <c r="AA324" i="17"/>
  <c r="AA320" i="17"/>
  <c r="X394" i="17"/>
  <c r="X388" i="17"/>
  <c r="X384" i="17"/>
  <c r="X376" i="17"/>
  <c r="X374" i="17"/>
  <c r="X372" i="17"/>
  <c r="X368" i="17"/>
  <c r="X364" i="17"/>
  <c r="X362" i="17"/>
  <c r="X358" i="17"/>
  <c r="X354" i="17"/>
  <c r="X352" i="17"/>
  <c r="X348" i="17"/>
  <c r="X346" i="17"/>
  <c r="X342" i="17"/>
  <c r="X338" i="17"/>
  <c r="X334" i="17"/>
  <c r="X328" i="17"/>
  <c r="X326" i="17"/>
  <c r="X320" i="17"/>
  <c r="X395" i="17"/>
  <c r="X391" i="17"/>
  <c r="X389" i="17"/>
  <c r="X387" i="17"/>
  <c r="X385" i="17"/>
  <c r="X383" i="17"/>
  <c r="X381" i="17"/>
  <c r="X379" i="17"/>
  <c r="X377" i="17"/>
  <c r="X375" i="17"/>
  <c r="X373" i="17"/>
  <c r="X371" i="17"/>
  <c r="X369" i="17"/>
  <c r="X367" i="17"/>
  <c r="X365" i="17"/>
  <c r="X363" i="17"/>
  <c r="X361" i="17"/>
  <c r="X359" i="17"/>
  <c r="X357" i="17"/>
  <c r="X355" i="17"/>
  <c r="X353" i="17"/>
  <c r="X351" i="17"/>
  <c r="X349" i="17"/>
  <c r="X347" i="17"/>
  <c r="X345" i="17"/>
  <c r="X343" i="17"/>
  <c r="X341" i="17"/>
  <c r="X339" i="17"/>
  <c r="X337" i="17"/>
  <c r="X335" i="17"/>
  <c r="X333" i="17"/>
  <c r="X331" i="17"/>
  <c r="X329" i="17"/>
  <c r="X327" i="17"/>
  <c r="X325" i="17"/>
  <c r="X323" i="17"/>
  <c r="X321" i="17"/>
  <c r="X393" i="17"/>
  <c r="X390" i="17"/>
  <c r="X386" i="17"/>
  <c r="X382" i="17"/>
  <c r="X380" i="17"/>
  <c r="X378" i="17"/>
  <c r="X370" i="17"/>
  <c r="X366" i="17"/>
  <c r="X360" i="17"/>
  <c r="X356" i="17"/>
  <c r="X350" i="17"/>
  <c r="X344" i="17"/>
  <c r="X340" i="17"/>
  <c r="X336" i="17"/>
  <c r="X332" i="17"/>
  <c r="X330" i="17"/>
  <c r="X324" i="17"/>
  <c r="X322" i="17"/>
  <c r="X396" i="17"/>
  <c r="X392" i="17"/>
  <c r="Z458" i="17"/>
  <c r="Z452" i="17"/>
  <c r="Z451" i="17"/>
  <c r="Z450" i="17"/>
  <c r="Z449" i="17"/>
  <c r="Z448" i="17"/>
  <c r="Z447" i="17"/>
  <c r="Z443" i="17"/>
  <c r="Z442" i="17"/>
  <c r="Z441" i="17"/>
  <c r="Z435" i="17"/>
  <c r="Z434" i="17"/>
  <c r="Z431" i="17"/>
  <c r="Z429" i="17"/>
  <c r="Z460" i="17"/>
  <c r="Z459" i="17"/>
  <c r="Z457" i="17"/>
  <c r="Z456" i="17"/>
  <c r="Z455" i="17"/>
  <c r="Z454" i="17"/>
  <c r="Z453" i="17"/>
  <c r="Z446" i="17"/>
  <c r="Z445" i="17"/>
  <c r="Z444" i="17"/>
  <c r="Z440" i="17"/>
  <c r="Z439" i="17"/>
  <c r="Z438" i="17"/>
  <c r="Z437" i="17"/>
  <c r="Z436" i="17"/>
  <c r="Z433" i="17"/>
  <c r="Z432" i="17"/>
  <c r="Z430" i="17"/>
  <c r="Z428" i="17"/>
  <c r="Z427" i="17"/>
  <c r="Z426" i="17"/>
  <c r="Z425" i="17"/>
  <c r="Z424" i="17"/>
  <c r="Z423" i="17"/>
  <c r="Z422" i="17"/>
  <c r="Z421" i="17"/>
  <c r="AA459" i="17"/>
  <c r="AA457" i="17"/>
  <c r="AA456" i="17"/>
  <c r="AA454" i="17"/>
  <c r="AA452" i="17"/>
  <c r="AA450" i="17"/>
  <c r="AA448" i="17"/>
  <c r="AA446" i="17"/>
  <c r="AA445" i="17"/>
  <c r="AA443" i="17"/>
  <c r="AA441" i="17"/>
  <c r="AA460" i="17"/>
  <c r="AA458" i="17"/>
  <c r="AA455" i="17"/>
  <c r="AA453" i="17"/>
  <c r="AA451" i="17"/>
  <c r="AA449" i="17"/>
  <c r="AA447" i="17"/>
  <c r="AA444" i="17"/>
  <c r="AA442" i="17"/>
  <c r="AA440" i="17"/>
  <c r="AA438" i="17"/>
  <c r="AA436" i="17"/>
  <c r="AA434" i="17"/>
  <c r="AA432" i="17"/>
  <c r="AA430" i="17"/>
  <c r="AA428" i="17"/>
  <c r="AA426" i="17"/>
  <c r="AA424" i="17"/>
  <c r="AA422" i="17"/>
  <c r="AA439" i="17"/>
  <c r="AA437" i="17"/>
  <c r="AA435" i="17"/>
  <c r="AA433" i="17"/>
  <c r="AA431" i="17"/>
  <c r="AA429" i="17"/>
  <c r="AA427" i="17"/>
  <c r="AA425" i="17"/>
  <c r="AA423" i="17"/>
  <c r="AA421" i="17"/>
  <c r="X460" i="17"/>
  <c r="X459" i="17"/>
  <c r="X458" i="17"/>
  <c r="X457" i="17"/>
  <c r="X456" i="17"/>
  <c r="X455" i="17"/>
  <c r="X454" i="17"/>
  <c r="X453" i="17"/>
  <c r="X452" i="17"/>
  <c r="X451" i="17"/>
  <c r="X450" i="17"/>
  <c r="X449" i="17"/>
  <c r="X448" i="17"/>
  <c r="X447" i="17"/>
  <c r="X446" i="17"/>
  <c r="X445" i="17"/>
  <c r="X444" i="17"/>
  <c r="X443" i="17"/>
  <c r="X442" i="17"/>
  <c r="X441" i="17"/>
  <c r="X440" i="17"/>
  <c r="X439" i="17"/>
  <c r="X438" i="17"/>
  <c r="X437" i="17"/>
  <c r="X436" i="17"/>
  <c r="X435" i="17"/>
  <c r="X434" i="17"/>
  <c r="X433" i="17"/>
  <c r="X432" i="17"/>
  <c r="X431" i="17"/>
  <c r="X430" i="17"/>
  <c r="X429" i="17"/>
  <c r="X428" i="17"/>
  <c r="X427" i="17"/>
  <c r="X426" i="17"/>
  <c r="X425" i="17"/>
  <c r="X424" i="17"/>
  <c r="X423" i="17"/>
  <c r="X422" i="17"/>
  <c r="X421" i="17"/>
  <c r="V460" i="17"/>
  <c r="V458" i="17"/>
  <c r="V453" i="17"/>
  <c r="V452" i="17"/>
  <c r="V451" i="17"/>
  <c r="V450" i="17"/>
  <c r="V449" i="17"/>
  <c r="V448" i="17"/>
  <c r="V444" i="17"/>
  <c r="V443" i="17"/>
  <c r="V442" i="17"/>
  <c r="V436" i="17"/>
  <c r="V435" i="17"/>
  <c r="V431" i="17"/>
  <c r="V429" i="17"/>
  <c r="V459" i="17"/>
  <c r="V457" i="17"/>
  <c r="V456" i="17"/>
  <c r="V455" i="17"/>
  <c r="V454" i="17"/>
  <c r="V447" i="17"/>
  <c r="V446" i="17"/>
  <c r="V445" i="17"/>
  <c r="V441" i="17"/>
  <c r="V440" i="17"/>
  <c r="V439" i="17"/>
  <c r="V438" i="17"/>
  <c r="V437" i="17"/>
  <c r="V434" i="17"/>
  <c r="V433" i="17"/>
  <c r="V432" i="17"/>
  <c r="V430" i="17"/>
  <c r="V428" i="17"/>
  <c r="V427" i="17"/>
  <c r="V426" i="17"/>
  <c r="V425" i="17"/>
  <c r="V424" i="17"/>
  <c r="V423" i="17"/>
  <c r="V422" i="17"/>
  <c r="V421" i="17"/>
  <c r="U460" i="17"/>
  <c r="U459" i="17"/>
  <c r="U458" i="17"/>
  <c r="U457" i="17"/>
  <c r="U456" i="17"/>
  <c r="U455" i="17"/>
  <c r="U454" i="17"/>
  <c r="U453" i="17"/>
  <c r="U452" i="17"/>
  <c r="U451" i="17"/>
  <c r="U450" i="17"/>
  <c r="U449" i="17"/>
  <c r="U448" i="17"/>
  <c r="U447" i="17"/>
  <c r="U446" i="17"/>
  <c r="U445" i="17"/>
  <c r="U444" i="17"/>
  <c r="U443" i="17"/>
  <c r="U442" i="17"/>
  <c r="U441" i="17"/>
  <c r="U440" i="17"/>
  <c r="U439" i="17"/>
  <c r="U438" i="17"/>
  <c r="U437" i="17"/>
  <c r="U436" i="17"/>
  <c r="U435" i="17"/>
  <c r="U434" i="17"/>
  <c r="U433" i="17"/>
  <c r="U432" i="17"/>
  <c r="U431" i="17"/>
  <c r="U430" i="17"/>
  <c r="U429" i="17"/>
  <c r="U428" i="17"/>
  <c r="U427" i="17"/>
  <c r="U426" i="17"/>
  <c r="U425" i="17"/>
  <c r="U424" i="17"/>
  <c r="U423" i="17"/>
  <c r="U422" i="17"/>
  <c r="U421" i="17"/>
  <c r="W460" i="17"/>
  <c r="W457" i="17"/>
  <c r="W456" i="17"/>
  <c r="W454" i="17"/>
  <c r="W452" i="17"/>
  <c r="W450" i="17"/>
  <c r="W448" i="17"/>
  <c r="W446" i="17"/>
  <c r="W445" i="17"/>
  <c r="W443" i="17"/>
  <c r="W441" i="17"/>
  <c r="W459" i="17"/>
  <c r="W458" i="17"/>
  <c r="W455" i="17"/>
  <c r="W453" i="17"/>
  <c r="W451" i="17"/>
  <c r="W449" i="17"/>
  <c r="W447" i="17"/>
  <c r="W444" i="17"/>
  <c r="W442" i="17"/>
  <c r="W439" i="17"/>
  <c r="W437" i="17"/>
  <c r="W431" i="17"/>
  <c r="W427" i="17"/>
  <c r="W423" i="17"/>
  <c r="W440" i="17"/>
  <c r="W438" i="17"/>
  <c r="W436" i="17"/>
  <c r="W434" i="17"/>
  <c r="W432" i="17"/>
  <c r="W430" i="17"/>
  <c r="W428" i="17"/>
  <c r="W426" i="17"/>
  <c r="W424" i="17"/>
  <c r="W422" i="17"/>
  <c r="W435" i="17"/>
  <c r="W433" i="17"/>
  <c r="W429" i="17"/>
  <c r="W425" i="17"/>
  <c r="W421" i="17"/>
  <c r="T460" i="17"/>
  <c r="T459" i="17"/>
  <c r="T458" i="17"/>
  <c r="T457" i="17"/>
  <c r="T456" i="17"/>
  <c r="T455" i="17"/>
  <c r="T454" i="17"/>
  <c r="T453" i="17"/>
  <c r="T452" i="17"/>
  <c r="T451" i="17"/>
  <c r="T450" i="17"/>
  <c r="T449" i="17"/>
  <c r="T448" i="17"/>
  <c r="T447" i="17"/>
  <c r="T446" i="17"/>
  <c r="T445" i="17"/>
  <c r="T444" i="17"/>
  <c r="T443" i="17"/>
  <c r="T442" i="17"/>
  <c r="T441" i="17"/>
  <c r="T440" i="17"/>
  <c r="T439" i="17"/>
  <c r="T438" i="17"/>
  <c r="T437" i="17"/>
  <c r="T436" i="17"/>
  <c r="T435" i="17"/>
  <c r="T434" i="17"/>
  <c r="T433" i="17"/>
  <c r="T432" i="17"/>
  <c r="T431" i="17"/>
  <c r="T430" i="17"/>
  <c r="T429" i="17"/>
  <c r="T428" i="17"/>
  <c r="T427" i="17"/>
  <c r="T426" i="17"/>
  <c r="T425" i="17"/>
  <c r="T424" i="17"/>
  <c r="T423" i="17"/>
  <c r="T422" i="17"/>
  <c r="T421" i="17"/>
  <c r="Y460" i="17"/>
  <c r="Y459" i="17"/>
  <c r="Y458" i="17"/>
  <c r="Y457" i="17"/>
  <c r="Y456" i="17"/>
  <c r="Y455" i="17"/>
  <c r="Y454" i="17"/>
  <c r="Y453" i="17"/>
  <c r="Y452" i="17"/>
  <c r="Y451" i="17"/>
  <c r="Y450" i="17"/>
  <c r="Y449" i="17"/>
  <c r="Y448" i="17"/>
  <c r="Y447" i="17"/>
  <c r="Y446" i="17"/>
  <c r="Y445" i="17"/>
  <c r="Y444" i="17"/>
  <c r="Y443" i="17"/>
  <c r="Y442" i="17"/>
  <c r="Y441" i="17"/>
  <c r="Y440" i="17"/>
  <c r="Y439" i="17"/>
  <c r="Y438" i="17"/>
  <c r="Y437" i="17"/>
  <c r="Y436" i="17"/>
  <c r="Y435" i="17"/>
  <c r="Y434" i="17"/>
  <c r="Y433" i="17"/>
  <c r="Y432" i="17"/>
  <c r="Y431" i="17"/>
  <c r="Y430" i="17"/>
  <c r="Y429" i="17"/>
  <c r="Y428" i="17"/>
  <c r="Y427" i="17"/>
  <c r="Y426" i="17"/>
  <c r="Y425" i="17"/>
  <c r="Y424" i="17"/>
  <c r="Y423" i="17"/>
  <c r="Y422" i="17"/>
  <c r="Y421" i="17"/>
  <c r="AB460" i="17"/>
  <c r="AB459" i="17"/>
  <c r="AB458" i="17"/>
  <c r="AB457" i="17"/>
  <c r="AB456" i="17"/>
  <c r="AB455" i="17"/>
  <c r="AB454" i="17"/>
  <c r="AB453" i="17"/>
  <c r="AB452" i="17"/>
  <c r="AB451" i="17"/>
  <c r="AB450" i="17"/>
  <c r="AB449" i="17"/>
  <c r="AB448" i="17"/>
  <c r="AB447" i="17"/>
  <c r="AB446" i="17"/>
  <c r="AB445" i="17"/>
  <c r="AB444" i="17"/>
  <c r="AB443" i="17"/>
  <c r="AB442" i="17"/>
  <c r="AB441" i="17"/>
  <c r="AB440" i="17"/>
  <c r="AB439" i="17"/>
  <c r="AB438" i="17"/>
  <c r="AB437" i="17"/>
  <c r="AB436" i="17"/>
  <c r="AB435" i="17"/>
  <c r="AB434" i="17"/>
  <c r="AB433" i="17"/>
  <c r="AB432" i="17"/>
  <c r="AB431" i="17"/>
  <c r="AB430" i="17"/>
  <c r="AB429" i="17"/>
  <c r="AB428" i="17"/>
  <c r="AB427" i="17"/>
  <c r="AB426" i="17"/>
  <c r="AB425" i="17"/>
  <c r="AB424" i="17"/>
  <c r="AB423" i="17"/>
  <c r="AB422" i="17"/>
  <c r="AB421" i="17"/>
  <c r="W467" i="17"/>
  <c r="W465" i="17"/>
  <c r="W463" i="17"/>
  <c r="W461" i="17"/>
  <c r="W470" i="17"/>
  <c r="W469" i="17"/>
  <c r="W468" i="17"/>
  <c r="W466" i="17"/>
  <c r="W464" i="17"/>
  <c r="W462" i="17"/>
  <c r="T470" i="17"/>
  <c r="T469" i="17"/>
  <c r="T468" i="17"/>
  <c r="T467" i="17"/>
  <c r="T466" i="17"/>
  <c r="T465" i="17"/>
  <c r="T464" i="17"/>
  <c r="T463" i="17"/>
  <c r="T462" i="17"/>
  <c r="T461" i="17"/>
  <c r="Y470" i="17"/>
  <c r="Y469" i="17"/>
  <c r="Y468" i="17"/>
  <c r="Y467" i="17"/>
  <c r="Y466" i="17"/>
  <c r="Y465" i="17"/>
  <c r="Y464" i="17"/>
  <c r="Y463" i="17"/>
  <c r="Y462" i="17"/>
  <c r="Y461" i="17"/>
  <c r="Z470" i="17"/>
  <c r="Z469" i="17"/>
  <c r="Z468" i="17"/>
  <c r="Z466" i="17"/>
  <c r="Z467" i="17"/>
  <c r="Z465" i="17"/>
  <c r="Z464" i="17"/>
  <c r="Z463" i="17"/>
  <c r="Z462" i="17"/>
  <c r="Z461" i="17"/>
  <c r="AB470" i="17"/>
  <c r="AB469" i="17"/>
  <c r="AB468" i="17"/>
  <c r="AB467" i="17"/>
  <c r="AB466" i="17"/>
  <c r="AB465" i="17"/>
  <c r="AB464" i="17"/>
  <c r="AB463" i="17"/>
  <c r="AB462" i="17"/>
  <c r="AB461" i="17"/>
  <c r="AA470" i="17"/>
  <c r="AA467" i="17"/>
  <c r="AA465" i="17"/>
  <c r="AA463" i="17"/>
  <c r="AA461" i="17"/>
  <c r="AA469" i="17"/>
  <c r="AA468" i="17"/>
  <c r="AA466" i="17"/>
  <c r="AA464" i="17"/>
  <c r="AA462" i="17"/>
  <c r="X470" i="17"/>
  <c r="X469" i="17"/>
  <c r="X468" i="17"/>
  <c r="X467" i="17"/>
  <c r="X466" i="17"/>
  <c r="X465" i="17"/>
  <c r="X464" i="17"/>
  <c r="X463" i="17"/>
  <c r="X462" i="17"/>
  <c r="X461" i="17"/>
  <c r="V469" i="17"/>
  <c r="V468" i="17"/>
  <c r="V466" i="17"/>
  <c r="V470" i="17"/>
  <c r="V467" i="17"/>
  <c r="V465" i="17"/>
  <c r="V464" i="17"/>
  <c r="V463" i="17"/>
  <c r="V462" i="17"/>
  <c r="V461" i="17"/>
  <c r="U470" i="17"/>
  <c r="U469" i="17"/>
  <c r="U468" i="17"/>
  <c r="U467" i="17"/>
  <c r="U466" i="17"/>
  <c r="U465" i="17"/>
  <c r="U464" i="17"/>
  <c r="U463" i="17"/>
  <c r="U462" i="17"/>
  <c r="U461" i="17"/>
  <c r="AA479" i="17"/>
  <c r="AA477" i="17"/>
  <c r="AA475" i="17"/>
  <c r="AA473" i="17"/>
  <c r="AA472" i="17"/>
  <c r="AA480" i="17"/>
  <c r="AA478" i="17"/>
  <c r="AA476" i="17"/>
  <c r="AA474" i="17"/>
  <c r="AA471" i="17"/>
  <c r="X477" i="17"/>
  <c r="X473" i="17"/>
  <c r="X472" i="17"/>
  <c r="X480" i="17"/>
  <c r="X479" i="17"/>
  <c r="X478" i="17"/>
  <c r="X476" i="17"/>
  <c r="X475" i="17"/>
  <c r="X474" i="17"/>
  <c r="X471" i="17"/>
  <c r="U480" i="17"/>
  <c r="U479" i="17"/>
  <c r="U478" i="17"/>
  <c r="U477" i="17"/>
  <c r="U476" i="17"/>
  <c r="U475" i="17"/>
  <c r="U474" i="17"/>
  <c r="U473" i="17"/>
  <c r="U472" i="17"/>
  <c r="U471" i="17"/>
  <c r="Y480" i="17"/>
  <c r="Y479" i="17"/>
  <c r="Y478" i="17"/>
  <c r="Y477" i="17"/>
  <c r="Y476" i="17"/>
  <c r="Y475" i="17"/>
  <c r="Y474" i="17"/>
  <c r="Y473" i="17"/>
  <c r="Y472" i="17"/>
  <c r="Y471" i="17"/>
  <c r="V480" i="17"/>
  <c r="V479" i="17"/>
  <c r="V478" i="17"/>
  <c r="V477" i="17"/>
  <c r="V476" i="17"/>
  <c r="V475" i="17"/>
  <c r="V474" i="17"/>
  <c r="V473" i="17"/>
  <c r="V472" i="17"/>
  <c r="V471" i="17"/>
  <c r="W480" i="17"/>
  <c r="W479" i="17"/>
  <c r="W477" i="17"/>
  <c r="W475" i="17"/>
  <c r="W473" i="17"/>
  <c r="W472" i="17"/>
  <c r="W478" i="17"/>
  <c r="W476" i="17"/>
  <c r="W474" i="17"/>
  <c r="W471" i="17"/>
  <c r="T480" i="17"/>
  <c r="T479" i="17"/>
  <c r="T478" i="17"/>
  <c r="T476" i="17"/>
  <c r="T475" i="17"/>
  <c r="T474" i="17"/>
  <c r="T471" i="17"/>
  <c r="T477" i="17"/>
  <c r="T473" i="17"/>
  <c r="T472" i="17"/>
  <c r="Z480" i="17"/>
  <c r="Z479" i="17"/>
  <c r="Z478" i="17"/>
  <c r="Z477" i="17"/>
  <c r="Z476" i="17"/>
  <c r="Z475" i="17"/>
  <c r="Z474" i="17"/>
  <c r="Z473" i="17"/>
  <c r="Z472" i="17"/>
  <c r="Z471" i="17"/>
  <c r="AB478" i="17"/>
  <c r="AB477" i="17"/>
  <c r="AB475" i="17"/>
  <c r="AB474" i="17"/>
  <c r="AB473" i="17"/>
  <c r="AB480" i="17"/>
  <c r="AB479" i="17"/>
  <c r="AB476" i="17"/>
  <c r="AB472" i="17"/>
  <c r="AB471" i="17"/>
  <c r="W493" i="17"/>
  <c r="W495" i="17"/>
  <c r="W490" i="17"/>
  <c r="W488" i="17"/>
  <c r="W486" i="17"/>
  <c r="W484" i="17"/>
  <c r="W482" i="17"/>
  <c r="W492" i="17"/>
  <c r="W496" i="17"/>
  <c r="W498" i="17"/>
  <c r="W491" i="17"/>
  <c r="W497" i="17"/>
  <c r="W499" i="17"/>
  <c r="W489" i="17"/>
  <c r="W487" i="17"/>
  <c r="W485" i="17"/>
  <c r="W483" i="17"/>
  <c r="W481" i="17"/>
  <c r="W420" i="17"/>
  <c r="W494" i="17"/>
  <c r="Y490" i="17"/>
  <c r="Y489" i="17"/>
  <c r="Y488" i="17"/>
  <c r="Y487" i="17"/>
  <c r="Y486" i="17"/>
  <c r="Y485" i="17"/>
  <c r="Y484" i="17"/>
  <c r="Y483" i="17"/>
  <c r="Y482" i="17"/>
  <c r="Y481" i="17"/>
  <c r="Y492" i="17"/>
  <c r="Y494" i="17"/>
  <c r="Y491" i="17"/>
  <c r="Y495" i="17"/>
  <c r="Y497" i="17"/>
  <c r="Y499" i="17"/>
  <c r="Y420" i="17"/>
  <c r="Y496" i="17"/>
  <c r="Y498" i="17"/>
  <c r="Y493" i="17"/>
  <c r="AB491" i="17"/>
  <c r="AB493" i="17"/>
  <c r="AB495" i="17"/>
  <c r="AB497" i="17"/>
  <c r="AB499" i="17"/>
  <c r="AB420" i="17"/>
  <c r="AB498" i="17"/>
  <c r="AB490" i="17"/>
  <c r="AB488" i="17"/>
  <c r="AB486" i="17"/>
  <c r="AB485" i="17"/>
  <c r="AB482" i="17"/>
  <c r="AB492" i="17"/>
  <c r="AB494" i="17"/>
  <c r="AB496" i="17"/>
  <c r="AB489" i="17"/>
  <c r="AB487" i="17"/>
  <c r="AB484" i="17"/>
  <c r="AB483" i="17"/>
  <c r="AB481" i="17"/>
  <c r="T491" i="17"/>
  <c r="T493" i="17"/>
  <c r="T495" i="17"/>
  <c r="T497" i="17"/>
  <c r="T499" i="17"/>
  <c r="T420" i="17"/>
  <c r="T492" i="17"/>
  <c r="T496" i="17"/>
  <c r="T489" i="17"/>
  <c r="T487" i="17"/>
  <c r="T486" i="17"/>
  <c r="T483" i="17"/>
  <c r="T482" i="17"/>
  <c r="T481" i="17"/>
  <c r="T494" i="17"/>
  <c r="T498" i="17"/>
  <c r="T490" i="17"/>
  <c r="T488" i="17"/>
  <c r="T485" i="17"/>
  <c r="T484" i="17"/>
  <c r="Z420" i="17"/>
  <c r="Z492" i="17"/>
  <c r="Z494" i="17"/>
  <c r="Z496" i="17"/>
  <c r="Z498" i="17"/>
  <c r="Z491" i="17"/>
  <c r="Z495" i="17"/>
  <c r="Z490" i="17"/>
  <c r="Z489" i="17"/>
  <c r="Z488" i="17"/>
  <c r="Z487" i="17"/>
  <c r="Z486" i="17"/>
  <c r="Z485" i="17"/>
  <c r="Z484" i="17"/>
  <c r="Z483" i="17"/>
  <c r="Z482" i="17"/>
  <c r="Z481" i="17"/>
  <c r="Z493" i="17"/>
  <c r="Z497" i="17"/>
  <c r="Z499" i="17"/>
  <c r="AA491" i="17"/>
  <c r="AA493" i="17"/>
  <c r="AA495" i="17"/>
  <c r="AA489" i="17"/>
  <c r="AA488" i="17"/>
  <c r="AA486" i="17"/>
  <c r="AA484" i="17"/>
  <c r="AA482" i="17"/>
  <c r="AA420" i="17"/>
  <c r="AA492" i="17"/>
  <c r="AA496" i="17"/>
  <c r="AA498" i="17"/>
  <c r="AA497" i="17"/>
  <c r="AA499" i="17"/>
  <c r="AA490" i="17"/>
  <c r="AA487" i="17"/>
  <c r="AA485" i="17"/>
  <c r="AA483" i="17"/>
  <c r="AA481" i="17"/>
  <c r="AA494" i="17"/>
  <c r="X491" i="17"/>
  <c r="X493" i="17"/>
  <c r="X495" i="17"/>
  <c r="X497" i="17"/>
  <c r="X499" i="17"/>
  <c r="X492" i="17"/>
  <c r="X494" i="17"/>
  <c r="X496" i="17"/>
  <c r="X488" i="17"/>
  <c r="X485" i="17"/>
  <c r="X484" i="17"/>
  <c r="X420" i="17"/>
  <c r="X498" i="17"/>
  <c r="X490" i="17"/>
  <c r="X489" i="17"/>
  <c r="X487" i="17"/>
  <c r="X486" i="17"/>
  <c r="X483" i="17"/>
  <c r="X482" i="17"/>
  <c r="X481" i="17"/>
  <c r="V420" i="17"/>
  <c r="V492" i="17"/>
  <c r="V494" i="17"/>
  <c r="V496" i="17"/>
  <c r="V498" i="17"/>
  <c r="V493" i="17"/>
  <c r="V497" i="17"/>
  <c r="V499" i="17"/>
  <c r="V490" i="17"/>
  <c r="V489" i="17"/>
  <c r="V488" i="17"/>
  <c r="V487" i="17"/>
  <c r="V486" i="17"/>
  <c r="V485" i="17"/>
  <c r="V484" i="17"/>
  <c r="V483" i="17"/>
  <c r="V482" i="17"/>
  <c r="V481" i="17"/>
  <c r="V491" i="17"/>
  <c r="V495" i="17"/>
  <c r="U490" i="17"/>
  <c r="U489" i="17"/>
  <c r="U488" i="17"/>
  <c r="U487" i="17"/>
  <c r="U486" i="17"/>
  <c r="U485" i="17"/>
  <c r="U484" i="17"/>
  <c r="U483" i="17"/>
  <c r="U482" i="17"/>
  <c r="U481" i="17"/>
  <c r="U492" i="17"/>
  <c r="U494" i="17"/>
  <c r="U491" i="17"/>
  <c r="U495" i="17"/>
  <c r="U497" i="17"/>
  <c r="U499" i="17"/>
  <c r="U420" i="17"/>
  <c r="U496" i="17"/>
  <c r="U498" i="17"/>
  <c r="U493" i="17"/>
  <c r="X419" i="17"/>
  <c r="X417" i="17"/>
  <c r="X415" i="17"/>
  <c r="X413" i="17"/>
  <c r="X411" i="17"/>
  <c r="X409" i="17"/>
  <c r="X407" i="17"/>
  <c r="X405" i="17"/>
  <c r="X403" i="17"/>
  <c r="X401" i="17"/>
  <c r="X399" i="17"/>
  <c r="X397" i="17"/>
  <c r="X74" i="17"/>
  <c r="X72" i="17"/>
  <c r="X70" i="17"/>
  <c r="X68" i="17"/>
  <c r="X66" i="17"/>
  <c r="X64" i="17"/>
  <c r="X62" i="17"/>
  <c r="X60" i="17"/>
  <c r="X58" i="17"/>
  <c r="X56" i="17"/>
  <c r="X54" i="17"/>
  <c r="X52" i="17"/>
  <c r="X50" i="17"/>
  <c r="X48" i="17"/>
  <c r="X46" i="17"/>
  <c r="X44" i="17"/>
  <c r="X42" i="17"/>
  <c r="X40" i="17"/>
  <c r="X38" i="17"/>
  <c r="X36" i="17"/>
  <c r="X34" i="17"/>
  <c r="X32" i="17"/>
  <c r="X30" i="17"/>
  <c r="X28" i="17"/>
  <c r="X26" i="17"/>
  <c r="X24" i="17"/>
  <c r="X22" i="17"/>
  <c r="X416" i="17"/>
  <c r="X408" i="17"/>
  <c r="X400" i="17"/>
  <c r="X71" i="17"/>
  <c r="X63" i="17"/>
  <c r="X57" i="17"/>
  <c r="X53" i="17"/>
  <c r="X49" i="17"/>
  <c r="X45" i="17"/>
  <c r="X41" i="17"/>
  <c r="X37" i="17"/>
  <c r="X33" i="17"/>
  <c r="X29" i="17"/>
  <c r="X25" i="17"/>
  <c r="X21" i="17"/>
  <c r="X418" i="17"/>
  <c r="X410" i="17"/>
  <c r="X402" i="17"/>
  <c r="X73" i="17"/>
  <c r="X65" i="17"/>
  <c r="X406" i="17"/>
  <c r="X69" i="17"/>
  <c r="X500" i="17"/>
  <c r="X412" i="17"/>
  <c r="X404" i="17"/>
  <c r="X75" i="17"/>
  <c r="X67" i="17"/>
  <c r="X59" i="17"/>
  <c r="X55" i="17"/>
  <c r="X51" i="17"/>
  <c r="X47" i="17"/>
  <c r="X43" i="17"/>
  <c r="X39" i="17"/>
  <c r="X35" i="17"/>
  <c r="X31" i="17"/>
  <c r="X27" i="17"/>
  <c r="X23" i="17"/>
  <c r="X414" i="17"/>
  <c r="X398" i="17"/>
  <c r="X61" i="17"/>
  <c r="Z500" i="17"/>
  <c r="Z418" i="17"/>
  <c r="Z416" i="17"/>
  <c r="Z414" i="17"/>
  <c r="Z412" i="17"/>
  <c r="Z410" i="17"/>
  <c r="Z408" i="17"/>
  <c r="Z406" i="17"/>
  <c r="Z404" i="17"/>
  <c r="Z402" i="17"/>
  <c r="Z400" i="17"/>
  <c r="Z398" i="17"/>
  <c r="Z75" i="17"/>
  <c r="Z73" i="17"/>
  <c r="Z71" i="17"/>
  <c r="Z69" i="17"/>
  <c r="Z67" i="17"/>
  <c r="Z65" i="17"/>
  <c r="Z63" i="17"/>
  <c r="Z61" i="17"/>
  <c r="Z59" i="17"/>
  <c r="Z57" i="17"/>
  <c r="Z55" i="17"/>
  <c r="Z53" i="17"/>
  <c r="Z51" i="17"/>
  <c r="Z49" i="17"/>
  <c r="Z47" i="17"/>
  <c r="Z45" i="17"/>
  <c r="Z43" i="17"/>
  <c r="Z41" i="17"/>
  <c r="Z39" i="17"/>
  <c r="Z37" i="17"/>
  <c r="Z35" i="17"/>
  <c r="Z33" i="17"/>
  <c r="Z31" i="17"/>
  <c r="Z29" i="17"/>
  <c r="Z27" i="17"/>
  <c r="Z25" i="17"/>
  <c r="Z23" i="17"/>
  <c r="Z21" i="17"/>
  <c r="Z419" i="17"/>
  <c r="Z411" i="17"/>
  <c r="Z403" i="17"/>
  <c r="Z74" i="17"/>
  <c r="Z66" i="17"/>
  <c r="Z60" i="17"/>
  <c r="Z56" i="17"/>
  <c r="Z52" i="17"/>
  <c r="Z48" i="17"/>
  <c r="Z44" i="17"/>
  <c r="Z40" i="17"/>
  <c r="Z36" i="17"/>
  <c r="Z32" i="17"/>
  <c r="Z28" i="17"/>
  <c r="Z24" i="17"/>
  <c r="Z413" i="17"/>
  <c r="Z405" i="17"/>
  <c r="Z397" i="17"/>
  <c r="Z68" i="17"/>
  <c r="Z417" i="17"/>
  <c r="Z409" i="17"/>
  <c r="Z72" i="17"/>
  <c r="Z415" i="17"/>
  <c r="Z407" i="17"/>
  <c r="Z399" i="17"/>
  <c r="Z70" i="17"/>
  <c r="Z62" i="17"/>
  <c r="Z58" i="17"/>
  <c r="Z54" i="17"/>
  <c r="Z50" i="17"/>
  <c r="Z46" i="17"/>
  <c r="Z42" i="17"/>
  <c r="Z38" i="17"/>
  <c r="Z34" i="17"/>
  <c r="Z30" i="17"/>
  <c r="Z26" i="17"/>
  <c r="Z22" i="17"/>
  <c r="Z401" i="17"/>
  <c r="Z64" i="17"/>
  <c r="AB419" i="17"/>
  <c r="AB417" i="17"/>
  <c r="AB415" i="17"/>
  <c r="AB413" i="17"/>
  <c r="AB411" i="17"/>
  <c r="AB409" i="17"/>
  <c r="AB407" i="17"/>
  <c r="AB405" i="17"/>
  <c r="AB403" i="17"/>
  <c r="AB401" i="17"/>
  <c r="AB399" i="17"/>
  <c r="AB397" i="17"/>
  <c r="AB74" i="17"/>
  <c r="AB72" i="17"/>
  <c r="AB70" i="17"/>
  <c r="AB68" i="17"/>
  <c r="AB66" i="17"/>
  <c r="AB64" i="17"/>
  <c r="AB62" i="17"/>
  <c r="AB60" i="17"/>
  <c r="AB58" i="17"/>
  <c r="AB56" i="17"/>
  <c r="AB54" i="17"/>
  <c r="AB52" i="17"/>
  <c r="AB50" i="17"/>
  <c r="AB48" i="17"/>
  <c r="AB46" i="17"/>
  <c r="AB44" i="17"/>
  <c r="AB42" i="17"/>
  <c r="AB40" i="17"/>
  <c r="AB38" i="17"/>
  <c r="AB36" i="17"/>
  <c r="AB34" i="17"/>
  <c r="AB32" i="17"/>
  <c r="AB30" i="17"/>
  <c r="AB28" i="17"/>
  <c r="AB26" i="17"/>
  <c r="AB24" i="17"/>
  <c r="AB22" i="17"/>
  <c r="AB414" i="17"/>
  <c r="AB406" i="17"/>
  <c r="AB398" i="17"/>
  <c r="AB69" i="17"/>
  <c r="AB61" i="17"/>
  <c r="AB59" i="17"/>
  <c r="AB55" i="17"/>
  <c r="AB51" i="17"/>
  <c r="AB47" i="17"/>
  <c r="AB43" i="17"/>
  <c r="AB39" i="17"/>
  <c r="AB35" i="17"/>
  <c r="AB31" i="17"/>
  <c r="AB27" i="17"/>
  <c r="AB23" i="17"/>
  <c r="AB416" i="17"/>
  <c r="AB408" i="17"/>
  <c r="AB400" i="17"/>
  <c r="AB71" i="17"/>
  <c r="AB63" i="17"/>
  <c r="AB412" i="17"/>
  <c r="AB75" i="17"/>
  <c r="AB418" i="17"/>
  <c r="AB410" i="17"/>
  <c r="AB402" i="17"/>
  <c r="AB73" i="17"/>
  <c r="AB65" i="17"/>
  <c r="AB57" i="17"/>
  <c r="AB53" i="17"/>
  <c r="AB49" i="17"/>
  <c r="AB45" i="17"/>
  <c r="AB41" i="17"/>
  <c r="AB37" i="17"/>
  <c r="AB33" i="17"/>
  <c r="AB29" i="17"/>
  <c r="AB25" i="17"/>
  <c r="AB21" i="17"/>
  <c r="AB500" i="17"/>
  <c r="AB404" i="17"/>
  <c r="AB67" i="17"/>
  <c r="AA419" i="17"/>
  <c r="AA417" i="17"/>
  <c r="AA415" i="17"/>
  <c r="AA413" i="17"/>
  <c r="AA411" i="17"/>
  <c r="AA409" i="17"/>
  <c r="AA407" i="17"/>
  <c r="AA405" i="17"/>
  <c r="AA403" i="17"/>
  <c r="AA401" i="17"/>
  <c r="AA399" i="17"/>
  <c r="AA397" i="17"/>
  <c r="AA74" i="17"/>
  <c r="AA72" i="17"/>
  <c r="AA70" i="17"/>
  <c r="AA68" i="17"/>
  <c r="AA66" i="17"/>
  <c r="AA64" i="17"/>
  <c r="AA62" i="17"/>
  <c r="AA60" i="17"/>
  <c r="AA58" i="17"/>
  <c r="AA56" i="17"/>
  <c r="AA54" i="17"/>
  <c r="AA52" i="17"/>
  <c r="AA50" i="17"/>
  <c r="AA48" i="17"/>
  <c r="AA46" i="17"/>
  <c r="AA44" i="17"/>
  <c r="AA42" i="17"/>
  <c r="AA40" i="17"/>
  <c r="AA38" i="17"/>
  <c r="AA36" i="17"/>
  <c r="AA34" i="17"/>
  <c r="AA32" i="17"/>
  <c r="AA30" i="17"/>
  <c r="AA28" i="17"/>
  <c r="AA26" i="17"/>
  <c r="AA24" i="17"/>
  <c r="AA22" i="17"/>
  <c r="AA500" i="17"/>
  <c r="AA418" i="17"/>
  <c r="AA412" i="17"/>
  <c r="AA408" i="17"/>
  <c r="AA404" i="17"/>
  <c r="AA400" i="17"/>
  <c r="AA73" i="17"/>
  <c r="AA69" i="17"/>
  <c r="AA65" i="17"/>
  <c r="AA61" i="17"/>
  <c r="AA416" i="17"/>
  <c r="AA414" i="17"/>
  <c r="AA410" i="17"/>
  <c r="AA406" i="17"/>
  <c r="AA402" i="17"/>
  <c r="AA398" i="17"/>
  <c r="AA75" i="17"/>
  <c r="AA71" i="17"/>
  <c r="AA67" i="17"/>
  <c r="AA63" i="17"/>
  <c r="AA57" i="17"/>
  <c r="AA53" i="17"/>
  <c r="AA49" i="17"/>
  <c r="AA45" i="17"/>
  <c r="AA41" i="17"/>
  <c r="AA37" i="17"/>
  <c r="AA33" i="17"/>
  <c r="AA29" i="17"/>
  <c r="AA25" i="17"/>
  <c r="AA21" i="17"/>
  <c r="AA55" i="17"/>
  <c r="AA47" i="17"/>
  <c r="AA39" i="17"/>
  <c r="AA31" i="17"/>
  <c r="AA23" i="17"/>
  <c r="AA59" i="17"/>
  <c r="AA51" i="17"/>
  <c r="AA43" i="17"/>
  <c r="AA35" i="17"/>
  <c r="AA27" i="17"/>
  <c r="V500" i="17"/>
  <c r="V418" i="17"/>
  <c r="V416" i="17"/>
  <c r="V414" i="17"/>
  <c r="V412" i="17"/>
  <c r="V410" i="17"/>
  <c r="V408" i="17"/>
  <c r="V406" i="17"/>
  <c r="V404" i="17"/>
  <c r="V402" i="17"/>
  <c r="V400" i="17"/>
  <c r="V398" i="17"/>
  <c r="V75" i="17"/>
  <c r="V73" i="17"/>
  <c r="V71" i="17"/>
  <c r="V69" i="17"/>
  <c r="V67" i="17"/>
  <c r="V65" i="17"/>
  <c r="V63" i="17"/>
  <c r="V61" i="17"/>
  <c r="V59" i="17"/>
  <c r="V57" i="17"/>
  <c r="V55" i="17"/>
  <c r="V53" i="17"/>
  <c r="V51" i="17"/>
  <c r="V49" i="17"/>
  <c r="V47" i="17"/>
  <c r="V45" i="17"/>
  <c r="V43" i="17"/>
  <c r="V41" i="17"/>
  <c r="V39" i="17"/>
  <c r="V37" i="17"/>
  <c r="V35" i="17"/>
  <c r="V33" i="17"/>
  <c r="V31" i="17"/>
  <c r="V29" i="17"/>
  <c r="V27" i="17"/>
  <c r="V25" i="17"/>
  <c r="V23" i="17"/>
  <c r="V21" i="17"/>
  <c r="V19" i="17"/>
  <c r="V413" i="17"/>
  <c r="V405" i="17"/>
  <c r="V397" i="17"/>
  <c r="V68" i="17"/>
  <c r="V58" i="17"/>
  <c r="V54" i="17"/>
  <c r="V50" i="17"/>
  <c r="V46" i="17"/>
  <c r="V42" i="17"/>
  <c r="V38" i="17"/>
  <c r="V34" i="17"/>
  <c r="V30" i="17"/>
  <c r="V26" i="17"/>
  <c r="V22" i="17"/>
  <c r="V415" i="17"/>
  <c r="V407" i="17"/>
  <c r="V399" i="17"/>
  <c r="V70" i="17"/>
  <c r="V62" i="17"/>
  <c r="V419" i="17"/>
  <c r="V403" i="17"/>
  <c r="V66" i="17"/>
  <c r="V417" i="17"/>
  <c r="V409" i="17"/>
  <c r="V401" i="17"/>
  <c r="V72" i="17"/>
  <c r="V64" i="17"/>
  <c r="V60" i="17"/>
  <c r="V56" i="17"/>
  <c r="V52" i="17"/>
  <c r="V48" i="17"/>
  <c r="V44" i="17"/>
  <c r="V40" i="17"/>
  <c r="V36" i="17"/>
  <c r="V32" i="17"/>
  <c r="V28" i="17"/>
  <c r="V24" i="17"/>
  <c r="V411" i="17"/>
  <c r="V74" i="17"/>
  <c r="U500" i="17"/>
  <c r="U418" i="17"/>
  <c r="U416" i="17"/>
  <c r="U414" i="17"/>
  <c r="U412" i="17"/>
  <c r="U410" i="17"/>
  <c r="U408" i="17"/>
  <c r="U406" i="17"/>
  <c r="U404" i="17"/>
  <c r="U402" i="17"/>
  <c r="U400" i="17"/>
  <c r="U398" i="17"/>
  <c r="U75" i="17"/>
  <c r="U73" i="17"/>
  <c r="U71" i="17"/>
  <c r="U69" i="17"/>
  <c r="U67" i="17"/>
  <c r="U65" i="17"/>
  <c r="U63" i="17"/>
  <c r="U61" i="17"/>
  <c r="U59" i="17"/>
  <c r="U57" i="17"/>
  <c r="U55" i="17"/>
  <c r="U53" i="17"/>
  <c r="U51" i="17"/>
  <c r="U49" i="17"/>
  <c r="U47" i="17"/>
  <c r="U45" i="17"/>
  <c r="U43" i="17"/>
  <c r="U41" i="17"/>
  <c r="U39" i="17"/>
  <c r="U37" i="17"/>
  <c r="U35" i="17"/>
  <c r="U33" i="17"/>
  <c r="U31" i="17"/>
  <c r="U29" i="17"/>
  <c r="U27" i="17"/>
  <c r="U25" i="17"/>
  <c r="U23" i="17"/>
  <c r="U21" i="17"/>
  <c r="U419" i="17"/>
  <c r="U417" i="17"/>
  <c r="U415" i="17"/>
  <c r="U411" i="17"/>
  <c r="U407" i="17"/>
  <c r="U403" i="17"/>
  <c r="U399" i="17"/>
  <c r="U397" i="17"/>
  <c r="U72" i="17"/>
  <c r="U68" i="17"/>
  <c r="U64" i="17"/>
  <c r="U413" i="17"/>
  <c r="U409" i="17"/>
  <c r="U405" i="17"/>
  <c r="U401" i="17"/>
  <c r="U74" i="17"/>
  <c r="U70" i="17"/>
  <c r="U66" i="17"/>
  <c r="U62" i="17"/>
  <c r="U60" i="17"/>
  <c r="U56" i="17"/>
  <c r="U52" i="17"/>
  <c r="U48" i="17"/>
  <c r="U44" i="17"/>
  <c r="U40" i="17"/>
  <c r="U36" i="17"/>
  <c r="U32" i="17"/>
  <c r="U28" i="17"/>
  <c r="U24" i="17"/>
  <c r="U20" i="17"/>
  <c r="U54" i="17"/>
  <c r="U46" i="17"/>
  <c r="U38" i="17"/>
  <c r="U30" i="17"/>
  <c r="U22" i="17"/>
  <c r="U58" i="17"/>
  <c r="U50" i="17"/>
  <c r="U42" i="17"/>
  <c r="U34" i="17"/>
  <c r="U26" i="17"/>
  <c r="W419" i="17"/>
  <c r="W417" i="17"/>
  <c r="W415" i="17"/>
  <c r="W413" i="17"/>
  <c r="W411" i="17"/>
  <c r="W409" i="17"/>
  <c r="W407" i="17"/>
  <c r="W405" i="17"/>
  <c r="W403" i="17"/>
  <c r="W401" i="17"/>
  <c r="W399" i="17"/>
  <c r="W397" i="17"/>
  <c r="W74" i="17"/>
  <c r="W72" i="17"/>
  <c r="W70" i="17"/>
  <c r="W68" i="17"/>
  <c r="W66" i="17"/>
  <c r="W64" i="17"/>
  <c r="W62" i="17"/>
  <c r="W60" i="17"/>
  <c r="W58" i="17"/>
  <c r="W56" i="17"/>
  <c r="W54" i="17"/>
  <c r="W52" i="17"/>
  <c r="W50" i="17"/>
  <c r="W48" i="17"/>
  <c r="W46" i="17"/>
  <c r="W44" i="17"/>
  <c r="W42" i="17"/>
  <c r="W40" i="17"/>
  <c r="W38" i="17"/>
  <c r="W36" i="17"/>
  <c r="W34" i="17"/>
  <c r="W32" i="17"/>
  <c r="W30" i="17"/>
  <c r="W28" i="17"/>
  <c r="W26" i="17"/>
  <c r="W24" i="17"/>
  <c r="W22" i="17"/>
  <c r="W500" i="17"/>
  <c r="W418" i="17"/>
  <c r="W416" i="17"/>
  <c r="W414" i="17"/>
  <c r="W410" i="17"/>
  <c r="W406" i="17"/>
  <c r="W402" i="17"/>
  <c r="W398" i="17"/>
  <c r="W75" i="17"/>
  <c r="W71" i="17"/>
  <c r="W67" i="17"/>
  <c r="W63" i="17"/>
  <c r="W412" i="17"/>
  <c r="W408" i="17"/>
  <c r="W404" i="17"/>
  <c r="W400" i="17"/>
  <c r="W73" i="17"/>
  <c r="W69" i="17"/>
  <c r="W65" i="17"/>
  <c r="W61" i="17"/>
  <c r="W59" i="17"/>
  <c r="W55" i="17"/>
  <c r="W51" i="17"/>
  <c r="W47" i="17"/>
  <c r="W43" i="17"/>
  <c r="W39" i="17"/>
  <c r="W35" i="17"/>
  <c r="W31" i="17"/>
  <c r="W27" i="17"/>
  <c r="W23" i="17"/>
  <c r="W57" i="17"/>
  <c r="W49" i="17"/>
  <c r="W41" i="17"/>
  <c r="W33" i="17"/>
  <c r="W25" i="17"/>
  <c r="W53" i="17"/>
  <c r="W45" i="17"/>
  <c r="W37" i="17"/>
  <c r="W29" i="17"/>
  <c r="W21" i="17"/>
  <c r="T419" i="17"/>
  <c r="T417" i="17"/>
  <c r="T415" i="17"/>
  <c r="T413" i="17"/>
  <c r="T411" i="17"/>
  <c r="T409" i="17"/>
  <c r="T407" i="17"/>
  <c r="T405" i="17"/>
  <c r="T403" i="17"/>
  <c r="T401" i="17"/>
  <c r="T399" i="17"/>
  <c r="T397" i="17"/>
  <c r="T74" i="17"/>
  <c r="T72" i="17"/>
  <c r="T70" i="17"/>
  <c r="T68" i="17"/>
  <c r="T66" i="17"/>
  <c r="T64" i="17"/>
  <c r="T62" i="17"/>
  <c r="T60" i="17"/>
  <c r="T58" i="17"/>
  <c r="T56" i="17"/>
  <c r="T54" i="17"/>
  <c r="T52" i="17"/>
  <c r="T50" i="17"/>
  <c r="T48" i="17"/>
  <c r="T46" i="17"/>
  <c r="T44" i="17"/>
  <c r="T42" i="17"/>
  <c r="T40" i="17"/>
  <c r="T38" i="17"/>
  <c r="T36" i="17"/>
  <c r="T34" i="17"/>
  <c r="T32" i="17"/>
  <c r="T30" i="17"/>
  <c r="T28" i="17"/>
  <c r="T26" i="17"/>
  <c r="T24" i="17"/>
  <c r="T22" i="17"/>
  <c r="T20" i="17"/>
  <c r="T418" i="17"/>
  <c r="T410" i="17"/>
  <c r="T402" i="17"/>
  <c r="T73" i="17"/>
  <c r="T65" i="17"/>
  <c r="T59" i="17"/>
  <c r="T55" i="17"/>
  <c r="T51" i="17"/>
  <c r="T47" i="17"/>
  <c r="T43" i="17"/>
  <c r="T39" i="17"/>
  <c r="T35" i="17"/>
  <c r="T31" i="17"/>
  <c r="T27" i="17"/>
  <c r="T23" i="17"/>
  <c r="T19" i="17"/>
  <c r="T500" i="17"/>
  <c r="T412" i="17"/>
  <c r="T404" i="17"/>
  <c r="T75" i="17"/>
  <c r="T67" i="17"/>
  <c r="T18" i="17"/>
  <c r="T526" i="17" s="1"/>
  <c r="T416" i="17"/>
  <c r="T400" i="17"/>
  <c r="T63" i="17"/>
  <c r="T414" i="17"/>
  <c r="T406" i="17"/>
  <c r="T398" i="17"/>
  <c r="T69" i="17"/>
  <c r="T61" i="17"/>
  <c r="T57" i="17"/>
  <c r="T53" i="17"/>
  <c r="T49" i="17"/>
  <c r="T45" i="17"/>
  <c r="T41" i="17"/>
  <c r="T37" i="17"/>
  <c r="T33" i="17"/>
  <c r="T29" i="17"/>
  <c r="T25" i="17"/>
  <c r="T21" i="17"/>
  <c r="T408" i="17"/>
  <c r="T71" i="17"/>
  <c r="Y500" i="17"/>
  <c r="Y418" i="17"/>
  <c r="Y416" i="17"/>
  <c r="Y414" i="17"/>
  <c r="Y412" i="17"/>
  <c r="Y410" i="17"/>
  <c r="Y408" i="17"/>
  <c r="Y406" i="17"/>
  <c r="Y404" i="17"/>
  <c r="Y402" i="17"/>
  <c r="Y400" i="17"/>
  <c r="Y398" i="17"/>
  <c r="Y75" i="17"/>
  <c r="Y73" i="17"/>
  <c r="Y71" i="17"/>
  <c r="Y69" i="17"/>
  <c r="Y67" i="17"/>
  <c r="Y65" i="17"/>
  <c r="Y63" i="17"/>
  <c r="Y61" i="17"/>
  <c r="Y59" i="17"/>
  <c r="Y57" i="17"/>
  <c r="Y55" i="17"/>
  <c r="Y53" i="17"/>
  <c r="Y51" i="17"/>
  <c r="Y49" i="17"/>
  <c r="Y47" i="17"/>
  <c r="Y45" i="17"/>
  <c r="Y43" i="17"/>
  <c r="Y41" i="17"/>
  <c r="Y39" i="17"/>
  <c r="Y37" i="17"/>
  <c r="Y35" i="17"/>
  <c r="Y33" i="17"/>
  <c r="Y31" i="17"/>
  <c r="Y29" i="17"/>
  <c r="Y27" i="17"/>
  <c r="Y25" i="17"/>
  <c r="Y23" i="17"/>
  <c r="Y21" i="17"/>
  <c r="Y419" i="17"/>
  <c r="Y417" i="17"/>
  <c r="Y415" i="17"/>
  <c r="Y413" i="17"/>
  <c r="Y409" i="17"/>
  <c r="Y405" i="17"/>
  <c r="Y401" i="17"/>
  <c r="Y74" i="17"/>
  <c r="Y70" i="17"/>
  <c r="Y66" i="17"/>
  <c r="Y62" i="17"/>
  <c r="Y411" i="17"/>
  <c r="Y407" i="17"/>
  <c r="Y403" i="17"/>
  <c r="Y399" i="17"/>
  <c r="Y397" i="17"/>
  <c r="Y72" i="17"/>
  <c r="Y68" i="17"/>
  <c r="Y64" i="17"/>
  <c r="Y58" i="17"/>
  <c r="Y54" i="17"/>
  <c r="Y50" i="17"/>
  <c r="Y46" i="17"/>
  <c r="Y42" i="17"/>
  <c r="Y38" i="17"/>
  <c r="Y34" i="17"/>
  <c r="Y30" i="17"/>
  <c r="Y26" i="17"/>
  <c r="Y22" i="17"/>
  <c r="Y60" i="17"/>
  <c r="Y52" i="17"/>
  <c r="Y44" i="17"/>
  <c r="Y36" i="17"/>
  <c r="Y28" i="17"/>
  <c r="Y56" i="17"/>
  <c r="Y48" i="17"/>
  <c r="Y40" i="17"/>
  <c r="Y32" i="17"/>
  <c r="Y24" i="17"/>
  <c r="Z505" i="17"/>
  <c r="AA505" i="17"/>
  <c r="W505" i="17"/>
  <c r="AB505" i="17"/>
  <c r="Y505" i="17"/>
  <c r="U505" i="17"/>
  <c r="V505" i="17"/>
  <c r="T505" i="17"/>
  <c r="X505" i="17"/>
  <c r="C16" i="41"/>
  <c r="C15" i="41"/>
  <c r="C14" i="41"/>
  <c r="C13" i="41"/>
  <c r="C12" i="41"/>
  <c r="C11" i="41"/>
  <c r="C10" i="41"/>
  <c r="C9" i="41"/>
  <c r="C8" i="41"/>
  <c r="C7" i="41"/>
  <c r="C6" i="41"/>
  <c r="C5" i="41"/>
  <c r="C4" i="41"/>
  <c r="C3" i="41"/>
  <c r="C2" i="41"/>
  <c r="G26" i="37"/>
  <c r="E17" i="29"/>
  <c r="G17" i="29" s="1"/>
  <c r="I17" i="29" s="1"/>
  <c r="K17" i="29" s="1"/>
  <c r="M17" i="29" s="1"/>
  <c r="O17" i="29" s="1"/>
  <c r="Q17" i="29" s="1"/>
  <c r="S17" i="29" s="1"/>
  <c r="E19" i="29"/>
  <c r="G19" i="29" s="1"/>
  <c r="I19" i="29" s="1"/>
  <c r="K19" i="29" s="1"/>
  <c r="M19" i="29" s="1"/>
  <c r="O19" i="29" s="1"/>
  <c r="Q19" i="29" s="1"/>
  <c r="S19" i="29" s="1"/>
  <c r="E20" i="29"/>
  <c r="G20" i="29" s="1"/>
  <c r="I20" i="29" s="1"/>
  <c r="K20" i="29" s="1"/>
  <c r="M20" i="29" s="1"/>
  <c r="O20" i="29" s="1"/>
  <c r="Q20" i="29" s="1"/>
  <c r="S20" i="29" s="1"/>
  <c r="E21" i="29"/>
  <c r="G21" i="29" s="1"/>
  <c r="I21" i="29" s="1"/>
  <c r="K21" i="29" s="1"/>
  <c r="M21" i="29" s="1"/>
  <c r="O21" i="29" s="1"/>
  <c r="Q21" i="29" s="1"/>
  <c r="S21" i="29" s="1"/>
  <c r="E22" i="29"/>
  <c r="G22" i="29" s="1"/>
  <c r="I22" i="29" s="1"/>
  <c r="K22" i="29" s="1"/>
  <c r="M22" i="29" s="1"/>
  <c r="O22" i="29" s="1"/>
  <c r="Q22" i="29" s="1"/>
  <c r="S22" i="29" s="1"/>
  <c r="E23" i="29"/>
  <c r="E24" i="29"/>
  <c r="G24" i="29" s="1"/>
  <c r="I24" i="29" s="1"/>
  <c r="K24" i="29" s="1"/>
  <c r="E25" i="29"/>
  <c r="G25" i="29" s="1"/>
  <c r="I25" i="29" s="1"/>
  <c r="K25" i="29" s="1"/>
  <c r="M25" i="29" s="1"/>
  <c r="O25" i="29" s="1"/>
  <c r="Q25" i="29" s="1"/>
  <c r="S25" i="29" s="1"/>
  <c r="E31" i="29"/>
  <c r="G31" i="29" s="1"/>
  <c r="I31" i="29" s="1"/>
  <c r="K31" i="29" s="1"/>
  <c r="M31" i="29" s="1"/>
  <c r="O31" i="29" s="1"/>
  <c r="Q31" i="29" s="1"/>
  <c r="S31" i="29" s="1"/>
  <c r="E32" i="29"/>
  <c r="G32" i="29" s="1"/>
  <c r="I32" i="29" s="1"/>
  <c r="K32" i="29" s="1"/>
  <c r="M32" i="29" s="1"/>
  <c r="O32" i="29" s="1"/>
  <c r="Q32" i="29" s="1"/>
  <c r="S32" i="29" s="1"/>
  <c r="E34" i="29"/>
  <c r="G34" i="29" s="1"/>
  <c r="I34" i="29" s="1"/>
  <c r="K34" i="29" s="1"/>
  <c r="M34" i="29" s="1"/>
  <c r="O34" i="29" s="1"/>
  <c r="Q34" i="29" s="1"/>
  <c r="S34" i="29" s="1"/>
  <c r="E35" i="29"/>
  <c r="G35" i="29" s="1"/>
  <c r="I35" i="29" s="1"/>
  <c r="K35" i="29" s="1"/>
  <c r="M35" i="29" s="1"/>
  <c r="O35" i="29" s="1"/>
  <c r="Q35" i="29" s="1"/>
  <c r="S35" i="29" s="1"/>
  <c r="E36" i="29"/>
  <c r="G36" i="29" s="1"/>
  <c r="I36" i="29" s="1"/>
  <c r="K36" i="29" s="1"/>
  <c r="M36" i="29" s="1"/>
  <c r="O36" i="29" s="1"/>
  <c r="Q36" i="29" s="1"/>
  <c r="S36" i="29" s="1"/>
  <c r="E37" i="29"/>
  <c r="G37" i="29" s="1"/>
  <c r="I37" i="29" s="1"/>
  <c r="K37" i="29" s="1"/>
  <c r="M37" i="29" s="1"/>
  <c r="O37" i="29" s="1"/>
  <c r="Q37" i="29" s="1"/>
  <c r="S37" i="29" s="1"/>
  <c r="E38" i="29"/>
  <c r="G38" i="29" s="1"/>
  <c r="I38" i="29" s="1"/>
  <c r="K38" i="29" s="1"/>
  <c r="M38" i="29" s="1"/>
  <c r="O38" i="29" s="1"/>
  <c r="Q38" i="29" s="1"/>
  <c r="S38" i="29" s="1"/>
  <c r="E39" i="29"/>
  <c r="G39" i="29" s="1"/>
  <c r="I39" i="29" s="1"/>
  <c r="K39" i="29" s="1"/>
  <c r="M39" i="29" s="1"/>
  <c r="O39" i="29" s="1"/>
  <c r="Q39" i="29" s="1"/>
  <c r="S39" i="29" s="1"/>
  <c r="E45" i="29"/>
  <c r="G45" i="29" s="1"/>
  <c r="I45" i="29" s="1"/>
  <c r="K45" i="29" s="1"/>
  <c r="M45" i="29" s="1"/>
  <c r="O45" i="29" s="1"/>
  <c r="Q45" i="29" s="1"/>
  <c r="S45" i="29" s="1"/>
  <c r="E46" i="29"/>
  <c r="G46" i="29" s="1"/>
  <c r="I46" i="29" s="1"/>
  <c r="K46" i="29" s="1"/>
  <c r="M46" i="29" s="1"/>
  <c r="O46" i="29" s="1"/>
  <c r="Q46" i="29" s="1"/>
  <c r="S46" i="29" s="1"/>
  <c r="E47" i="29"/>
  <c r="G47" i="29" s="1"/>
  <c r="I47" i="29" s="1"/>
  <c r="K47" i="29" s="1"/>
  <c r="M47" i="29" s="1"/>
  <c r="O47" i="29" s="1"/>
  <c r="Q47" i="29" s="1"/>
  <c r="S47" i="29" s="1"/>
  <c r="E52" i="29"/>
  <c r="G52" i="29" s="1"/>
  <c r="I52" i="29" s="1"/>
  <c r="K52" i="29" s="1"/>
  <c r="M52" i="29" s="1"/>
  <c r="O52" i="29" s="1"/>
  <c r="Q52" i="29" s="1"/>
  <c r="S52" i="29" s="1"/>
  <c r="E53" i="29"/>
  <c r="G53" i="29" s="1"/>
  <c r="I53" i="29" s="1"/>
  <c r="K53" i="29" s="1"/>
  <c r="M53" i="29" s="1"/>
  <c r="O53" i="29" s="1"/>
  <c r="Q53" i="29" s="1"/>
  <c r="S53" i="29" s="1"/>
  <c r="E54" i="29"/>
  <c r="G54" i="29" s="1"/>
  <c r="I54" i="29" s="1"/>
  <c r="K54" i="29" s="1"/>
  <c r="M54" i="29" s="1"/>
  <c r="O54" i="29" s="1"/>
  <c r="Q54" i="29" s="1"/>
  <c r="S54" i="29" s="1"/>
  <c r="E55" i="29"/>
  <c r="G55" i="29" s="1"/>
  <c r="I55" i="29" s="1"/>
  <c r="K55" i="29" s="1"/>
  <c r="M55" i="29" s="1"/>
  <c r="O55" i="29" s="1"/>
  <c r="Q55" i="29" s="1"/>
  <c r="S55" i="29" s="1"/>
  <c r="E56" i="29"/>
  <c r="G56" i="29" s="1"/>
  <c r="I56" i="29" s="1"/>
  <c r="K56" i="29" s="1"/>
  <c r="M56" i="29" s="1"/>
  <c r="O56" i="29" s="1"/>
  <c r="Q56" i="29" s="1"/>
  <c r="S56" i="29" s="1"/>
  <c r="E57" i="29"/>
  <c r="G57" i="29" s="1"/>
  <c r="I57" i="29" s="1"/>
  <c r="K57" i="29" s="1"/>
  <c r="M57" i="29" s="1"/>
  <c r="O57" i="29" s="1"/>
  <c r="Q57" i="29" s="1"/>
  <c r="S57" i="29" s="1"/>
  <c r="E58" i="29"/>
  <c r="G58" i="29" s="1"/>
  <c r="I58" i="29" s="1"/>
  <c r="K58" i="29" s="1"/>
  <c r="M58" i="29" s="1"/>
  <c r="O58" i="29" s="1"/>
  <c r="Q58" i="29" s="1"/>
  <c r="S58" i="29" s="1"/>
  <c r="E60" i="29"/>
  <c r="G60" i="29" s="1"/>
  <c r="I60" i="29" s="1"/>
  <c r="K60" i="29" s="1"/>
  <c r="M60" i="29" s="1"/>
  <c r="O60" i="29" s="1"/>
  <c r="Q60" i="29" s="1"/>
  <c r="S60" i="29" s="1"/>
  <c r="E61" i="29"/>
  <c r="G61" i="29" s="1"/>
  <c r="I61" i="29" s="1"/>
  <c r="K61" i="29" s="1"/>
  <c r="M61" i="29" s="1"/>
  <c r="O61" i="29" s="1"/>
  <c r="Q61" i="29" s="1"/>
  <c r="S61" i="29" s="1"/>
  <c r="E62" i="29"/>
  <c r="G62" i="29" s="1"/>
  <c r="I62" i="29" s="1"/>
  <c r="K62" i="29" s="1"/>
  <c r="M62" i="29" s="1"/>
  <c r="O62" i="29" s="1"/>
  <c r="Q62" i="29" s="1"/>
  <c r="S62" i="29" s="1"/>
  <c r="E63" i="29"/>
  <c r="G63" i="29" s="1"/>
  <c r="I63" i="29" s="1"/>
  <c r="K63" i="29" s="1"/>
  <c r="M63" i="29" s="1"/>
  <c r="O63" i="29" s="1"/>
  <c r="Q63" i="29" s="1"/>
  <c r="S63" i="29" s="1"/>
  <c r="E64" i="29"/>
  <c r="G64" i="29" s="1"/>
  <c r="I64" i="29" s="1"/>
  <c r="K64" i="29" s="1"/>
  <c r="M64" i="29" s="1"/>
  <c r="O64" i="29" s="1"/>
  <c r="Q64" i="29" s="1"/>
  <c r="S64" i="29" s="1"/>
  <c r="E65" i="29"/>
  <c r="G65" i="29" s="1"/>
  <c r="I65" i="29" s="1"/>
  <c r="K65" i="29" s="1"/>
  <c r="M65" i="29" s="1"/>
  <c r="O65" i="29" s="1"/>
  <c r="Q65" i="29" s="1"/>
  <c r="S65" i="29" s="1"/>
  <c r="E66" i="29"/>
  <c r="G66" i="29" s="1"/>
  <c r="I66" i="29" s="1"/>
  <c r="K66" i="29" s="1"/>
  <c r="M66" i="29" s="1"/>
  <c r="O66" i="29" s="1"/>
  <c r="Q66" i="29" s="1"/>
  <c r="S66" i="29" s="1"/>
  <c r="E67" i="29"/>
  <c r="G67" i="29" s="1"/>
  <c r="I67" i="29" s="1"/>
  <c r="K67" i="29" s="1"/>
  <c r="M67" i="29" s="1"/>
  <c r="O67" i="29" s="1"/>
  <c r="Q67" i="29" s="1"/>
  <c r="S67" i="29" s="1"/>
  <c r="E68" i="29"/>
  <c r="G68" i="29" s="1"/>
  <c r="I68" i="29" s="1"/>
  <c r="K68" i="29" s="1"/>
  <c r="M68" i="29" s="1"/>
  <c r="O68" i="29" s="1"/>
  <c r="Q68" i="29" s="1"/>
  <c r="S68" i="29" s="1"/>
  <c r="E69" i="29"/>
  <c r="G69" i="29" s="1"/>
  <c r="I69" i="29" s="1"/>
  <c r="K69" i="29" s="1"/>
  <c r="M69" i="29" s="1"/>
  <c r="O69" i="29" s="1"/>
  <c r="Q69" i="29" s="1"/>
  <c r="S69" i="29" s="1"/>
  <c r="E75" i="29"/>
  <c r="G75" i="29" s="1"/>
  <c r="I75" i="29" s="1"/>
  <c r="K75" i="29" s="1"/>
  <c r="M75" i="29" s="1"/>
  <c r="O75" i="29" s="1"/>
  <c r="Q75" i="29" s="1"/>
  <c r="S75" i="29" s="1"/>
  <c r="E76" i="29"/>
  <c r="G76" i="29" s="1"/>
  <c r="I76" i="29" s="1"/>
  <c r="K76" i="29" s="1"/>
  <c r="M76" i="29" s="1"/>
  <c r="O76" i="29" s="1"/>
  <c r="Q76" i="29" s="1"/>
  <c r="S76" i="29" s="1"/>
  <c r="E77" i="29"/>
  <c r="G77" i="29" s="1"/>
  <c r="I77" i="29" s="1"/>
  <c r="K77" i="29" s="1"/>
  <c r="M77" i="29" s="1"/>
  <c r="O77" i="29" s="1"/>
  <c r="Q77" i="29" s="1"/>
  <c r="S77" i="29" s="1"/>
  <c r="E78" i="29"/>
  <c r="G78" i="29" s="1"/>
  <c r="I78" i="29" s="1"/>
  <c r="K78" i="29" s="1"/>
  <c r="M78" i="29" s="1"/>
  <c r="O78" i="29" s="1"/>
  <c r="Q78" i="29" s="1"/>
  <c r="S78" i="29" s="1"/>
  <c r="E79" i="29"/>
  <c r="G79" i="29" s="1"/>
  <c r="I79" i="29" s="1"/>
  <c r="K79" i="29" s="1"/>
  <c r="M79" i="29" s="1"/>
  <c r="O79" i="29" s="1"/>
  <c r="Q79" i="29" s="1"/>
  <c r="S79" i="29" s="1"/>
  <c r="E80" i="29"/>
  <c r="G80" i="29" s="1"/>
  <c r="I80" i="29" s="1"/>
  <c r="K80" i="29" s="1"/>
  <c r="M80" i="29" s="1"/>
  <c r="O80" i="29" s="1"/>
  <c r="Q80" i="29" s="1"/>
  <c r="S80" i="29" s="1"/>
  <c r="E81" i="29"/>
  <c r="G81" i="29" s="1"/>
  <c r="I81" i="29" s="1"/>
  <c r="K81" i="29" s="1"/>
  <c r="M81" i="29" s="1"/>
  <c r="O81" i="29" s="1"/>
  <c r="Q81" i="29" s="1"/>
  <c r="S81" i="29" s="1"/>
  <c r="E82" i="29"/>
  <c r="G82" i="29" s="1"/>
  <c r="I82" i="29" s="1"/>
  <c r="K82" i="29" s="1"/>
  <c r="M82" i="29" s="1"/>
  <c r="O82" i="29" s="1"/>
  <c r="Q82" i="29" s="1"/>
  <c r="S82" i="29" s="1"/>
  <c r="E83" i="29"/>
  <c r="G83" i="29" s="1"/>
  <c r="I83" i="29" s="1"/>
  <c r="K83" i="29" s="1"/>
  <c r="M83" i="29" s="1"/>
  <c r="O83" i="29" s="1"/>
  <c r="Q83" i="29" s="1"/>
  <c r="S83" i="29" s="1"/>
  <c r="E85" i="29"/>
  <c r="G85" i="29" s="1"/>
  <c r="I85" i="29" s="1"/>
  <c r="K85" i="29" s="1"/>
  <c r="M85" i="29" s="1"/>
  <c r="O85" i="29" s="1"/>
  <c r="Q85" i="29" s="1"/>
  <c r="S85" i="29" s="1"/>
  <c r="E86" i="29"/>
  <c r="G86" i="29" s="1"/>
  <c r="I86" i="29" s="1"/>
  <c r="K86" i="29" s="1"/>
  <c r="M86" i="29" s="1"/>
  <c r="O86" i="29" s="1"/>
  <c r="Q86" i="29" s="1"/>
  <c r="S86" i="29" s="1"/>
  <c r="E87" i="29"/>
  <c r="G87" i="29" s="1"/>
  <c r="I87" i="29" s="1"/>
  <c r="K87" i="29" s="1"/>
  <c r="M87" i="29" s="1"/>
  <c r="O87" i="29" s="1"/>
  <c r="Q87" i="29" s="1"/>
  <c r="S87" i="29" s="1"/>
  <c r="E88" i="29"/>
  <c r="G88" i="29" s="1"/>
  <c r="I88" i="29" s="1"/>
  <c r="K88" i="29" s="1"/>
  <c r="M88" i="29" s="1"/>
  <c r="O88" i="29" s="1"/>
  <c r="Q88" i="29" s="1"/>
  <c r="S88" i="29" s="1"/>
  <c r="E89" i="29"/>
  <c r="G89" i="29"/>
  <c r="I89" i="29" s="1"/>
  <c r="K89" i="29" s="1"/>
  <c r="M89" i="29" s="1"/>
  <c r="O89" i="29" s="1"/>
  <c r="Q89" i="29" s="1"/>
  <c r="S89" i="29" s="1"/>
  <c r="E90" i="29"/>
  <c r="G90" i="29" s="1"/>
  <c r="I90" i="29" s="1"/>
  <c r="K90" i="29" s="1"/>
  <c r="M90" i="29" s="1"/>
  <c r="O90" i="29" s="1"/>
  <c r="Q90" i="29" s="1"/>
  <c r="S90" i="29" s="1"/>
  <c r="E91" i="29"/>
  <c r="G91" i="29" s="1"/>
  <c r="I91" i="29" s="1"/>
  <c r="K91" i="29" s="1"/>
  <c r="M91" i="29" s="1"/>
  <c r="O91" i="29" s="1"/>
  <c r="Q91" i="29" s="1"/>
  <c r="S91" i="29" s="1"/>
  <c r="E99" i="29"/>
  <c r="G99" i="29" s="1"/>
  <c r="I99" i="29" s="1"/>
  <c r="K99" i="29" s="1"/>
  <c r="M99" i="29" s="1"/>
  <c r="O99" i="29" s="1"/>
  <c r="Q99" i="29" s="1"/>
  <c r="S99" i="29" s="1"/>
  <c r="E100" i="29"/>
  <c r="G100" i="29"/>
  <c r="I100" i="29" s="1"/>
  <c r="K100" i="29" s="1"/>
  <c r="M100" i="29" s="1"/>
  <c r="O100" i="29" s="1"/>
  <c r="Q100" i="29" s="1"/>
  <c r="S100" i="29" s="1"/>
  <c r="E101" i="29"/>
  <c r="G101" i="29" s="1"/>
  <c r="I101" i="29" s="1"/>
  <c r="K101" i="29" s="1"/>
  <c r="M101" i="29" s="1"/>
  <c r="O101" i="29" s="1"/>
  <c r="Q101" i="29" s="1"/>
  <c r="S101" i="29" s="1"/>
  <c r="E102" i="29"/>
  <c r="G102" i="29" s="1"/>
  <c r="I102" i="29" s="1"/>
  <c r="K102" i="29" s="1"/>
  <c r="M102" i="29" s="1"/>
  <c r="O102" i="29" s="1"/>
  <c r="Q102" i="29" s="1"/>
  <c r="S102" i="29" s="1"/>
  <c r="E103" i="29"/>
  <c r="G103" i="29" s="1"/>
  <c r="I103" i="29" s="1"/>
  <c r="K103" i="29" s="1"/>
  <c r="M103" i="29" s="1"/>
  <c r="O103" i="29" s="1"/>
  <c r="Q103" i="29" s="1"/>
  <c r="S103" i="29" s="1"/>
  <c r="E16" i="29"/>
  <c r="G16" i="29" s="1"/>
  <c r="I16" i="29" s="1"/>
  <c r="K16" i="29" s="1"/>
  <c r="M16" i="29" s="1"/>
  <c r="O16" i="29" s="1"/>
  <c r="Q16" i="29" s="1"/>
  <c r="S16" i="29" s="1"/>
  <c r="O63" i="34"/>
  <c r="M63" i="34"/>
  <c r="K63" i="34"/>
  <c r="I63" i="34"/>
  <c r="G63" i="34"/>
  <c r="E63" i="34"/>
  <c r="I27" i="38"/>
  <c r="J27" i="38"/>
  <c r="K27" i="38"/>
  <c r="L27" i="38"/>
  <c r="I22" i="38"/>
  <c r="J22" i="38"/>
  <c r="K22" i="38"/>
  <c r="L22" i="38"/>
  <c r="I17" i="38"/>
  <c r="J17" i="38"/>
  <c r="K17" i="38"/>
  <c r="L17" i="38"/>
  <c r="I15" i="38"/>
  <c r="J15" i="38"/>
  <c r="K15" i="38"/>
  <c r="L15" i="38"/>
  <c r="L10" i="38"/>
  <c r="K10" i="38"/>
  <c r="J10" i="38"/>
  <c r="I10" i="38"/>
  <c r="L8" i="38"/>
  <c r="K8" i="38"/>
  <c r="J8" i="38"/>
  <c r="I8" i="38"/>
  <c r="L5" i="38"/>
  <c r="K5" i="38"/>
  <c r="J5" i="38"/>
  <c r="I5" i="38"/>
  <c r="H5" i="38"/>
  <c r="G5" i="38"/>
  <c r="F5" i="38"/>
  <c r="E5" i="38"/>
  <c r="D5" i="38"/>
  <c r="M37" i="17"/>
  <c r="N37" i="17" s="1"/>
  <c r="M38" i="17"/>
  <c r="M39" i="17"/>
  <c r="N39" i="17" s="1"/>
  <c r="M40" i="17"/>
  <c r="O40" i="17" s="1"/>
  <c r="P40" i="17" s="1"/>
  <c r="M41" i="17"/>
  <c r="M42" i="17"/>
  <c r="M43" i="17"/>
  <c r="O43" i="17" s="1"/>
  <c r="P43" i="17" s="1"/>
  <c r="M44" i="17"/>
  <c r="M45" i="17"/>
  <c r="O45" i="17" s="1"/>
  <c r="P45" i="17" s="1"/>
  <c r="M46" i="17"/>
  <c r="O46" i="17" s="1"/>
  <c r="P46" i="17" s="1"/>
  <c r="M47" i="17"/>
  <c r="O47" i="17" s="1"/>
  <c r="P47" i="17" s="1"/>
  <c r="M48" i="17"/>
  <c r="N48" i="17" s="1"/>
  <c r="M49" i="17"/>
  <c r="M50" i="17"/>
  <c r="O50" i="17" s="1"/>
  <c r="P50" i="17" s="1"/>
  <c r="M51" i="17"/>
  <c r="O51" i="17" s="1"/>
  <c r="P51" i="17" s="1"/>
  <c r="M52" i="17"/>
  <c r="N52" i="17" s="1"/>
  <c r="M53" i="17"/>
  <c r="O53" i="17" s="1"/>
  <c r="P53" i="17" s="1"/>
  <c r="M54" i="17"/>
  <c r="O54" i="17" s="1"/>
  <c r="P54" i="17" s="1"/>
  <c r="M55" i="17"/>
  <c r="M56" i="17"/>
  <c r="M57" i="17"/>
  <c r="M58" i="17"/>
  <c r="N58" i="17" s="1"/>
  <c r="M59" i="17"/>
  <c r="M60" i="17"/>
  <c r="O60" i="17" s="1"/>
  <c r="P60" i="17" s="1"/>
  <c r="M61" i="17"/>
  <c r="O61" i="17" s="1"/>
  <c r="P61" i="17" s="1"/>
  <c r="M62" i="17"/>
  <c r="O62" i="17" s="1"/>
  <c r="P62" i="17" s="1"/>
  <c r="M63" i="17"/>
  <c r="O63" i="17" s="1"/>
  <c r="P63" i="17" s="1"/>
  <c r="M64" i="17"/>
  <c r="N64" i="17" s="1"/>
  <c r="M65" i="17"/>
  <c r="N65" i="17" s="1"/>
  <c r="M500" i="17"/>
  <c r="N500" i="17" s="1"/>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500" i="17"/>
  <c r="E166" i="15"/>
  <c r="E83" i="24" s="1"/>
  <c r="I166" i="15"/>
  <c r="G166" i="15"/>
  <c r="G83" i="24" s="1"/>
  <c r="E104" i="15"/>
  <c r="E32" i="24" s="1"/>
  <c r="I104" i="15"/>
  <c r="E76" i="34" s="1"/>
  <c r="E27" i="37" s="1"/>
  <c r="G104" i="15"/>
  <c r="I18" i="29"/>
  <c r="K18" i="29" s="1"/>
  <c r="M18" i="29" s="1"/>
  <c r="O18" i="29" s="1"/>
  <c r="Q18" i="29" s="1"/>
  <c r="S18" i="29" s="1"/>
  <c r="O24" i="37"/>
  <c r="M24" i="37"/>
  <c r="K24" i="37"/>
  <c r="I24" i="37"/>
  <c r="G24" i="37"/>
  <c r="E24" i="37"/>
  <c r="O74" i="34"/>
  <c r="M74" i="34"/>
  <c r="K74" i="34"/>
  <c r="I74" i="34"/>
  <c r="G74" i="34"/>
  <c r="E74" i="34"/>
  <c r="AB537" i="17"/>
  <c r="AA537" i="17"/>
  <c r="Z537" i="17"/>
  <c r="Y537" i="17"/>
  <c r="X537" i="17"/>
  <c r="W537" i="17"/>
  <c r="V537" i="17"/>
  <c r="U537" i="17"/>
  <c r="T537" i="17"/>
  <c r="S537" i="17"/>
  <c r="S524" i="17" s="1"/>
  <c r="R13" i="29"/>
  <c r="R41" i="29" s="1"/>
  <c r="P13" i="29"/>
  <c r="P41" i="29" s="1"/>
  <c r="N13" i="29"/>
  <c r="N41" i="29" s="1"/>
  <c r="L13" i="29"/>
  <c r="L41" i="29" s="1"/>
  <c r="L92" i="29"/>
  <c r="R84" i="29"/>
  <c r="R93" i="29" s="1"/>
  <c r="P84" i="29"/>
  <c r="P93" i="29" s="1"/>
  <c r="N84" i="29"/>
  <c r="N93" i="29" s="1"/>
  <c r="L84" i="29"/>
  <c r="L93" i="29" s="1"/>
  <c r="R70" i="29"/>
  <c r="P70" i="29"/>
  <c r="N70" i="29"/>
  <c r="L70" i="29"/>
  <c r="J70" i="29"/>
  <c r="H70" i="29"/>
  <c r="F70" i="29"/>
  <c r="D70" i="29"/>
  <c r="C70" i="29"/>
  <c r="E70" i="29" s="1"/>
  <c r="G70" i="29" s="1"/>
  <c r="I70" i="29" s="1"/>
  <c r="K70" i="29" s="1"/>
  <c r="M70" i="29" s="1"/>
  <c r="O70" i="29" s="1"/>
  <c r="Q70" i="29" s="1"/>
  <c r="S70" i="29" s="1"/>
  <c r="R59" i="29"/>
  <c r="P59" i="29"/>
  <c r="N59" i="29"/>
  <c r="N71" i="29" s="1"/>
  <c r="L59" i="29"/>
  <c r="T34" i="5"/>
  <c r="G82" i="37" s="1"/>
  <c r="U34" i="5"/>
  <c r="I82" i="37" s="1"/>
  <c r="V34" i="5"/>
  <c r="K82" i="37" s="1"/>
  <c r="W34" i="5"/>
  <c r="X34" i="5"/>
  <c r="S34" i="5"/>
  <c r="T23" i="5"/>
  <c r="U23" i="5"/>
  <c r="V23" i="5"/>
  <c r="W23" i="5"/>
  <c r="X23" i="5"/>
  <c r="S23" i="5"/>
  <c r="H21" i="5"/>
  <c r="G88" i="37" s="1"/>
  <c r="I21" i="5"/>
  <c r="I89" i="37" s="1"/>
  <c r="J21" i="5"/>
  <c r="K88" i="37" s="1"/>
  <c r="K21" i="5"/>
  <c r="L21" i="5"/>
  <c r="O87" i="37" s="1"/>
  <c r="G21" i="5"/>
  <c r="E88" i="37" s="1"/>
  <c r="H32" i="5"/>
  <c r="G92" i="37" s="1"/>
  <c r="I32" i="5"/>
  <c r="J32" i="5"/>
  <c r="K93" i="37" s="1"/>
  <c r="K32" i="5"/>
  <c r="M92" i="37" s="1"/>
  <c r="L32" i="5"/>
  <c r="O91" i="37" s="1"/>
  <c r="G32" i="5"/>
  <c r="E91" i="37" s="1"/>
  <c r="E82" i="37"/>
  <c r="O42" i="37"/>
  <c r="M42" i="37"/>
  <c r="K42" i="37"/>
  <c r="I42" i="37"/>
  <c r="G42" i="37"/>
  <c r="E42" i="37"/>
  <c r="BX519" i="17"/>
  <c r="BX520" i="17"/>
  <c r="BX521" i="17"/>
  <c r="BX522" i="17"/>
  <c r="BT519" i="17"/>
  <c r="BT520" i="17"/>
  <c r="BT521" i="17"/>
  <c r="BT522" i="17"/>
  <c r="BP519" i="17"/>
  <c r="BP520" i="17"/>
  <c r="BP521" i="17"/>
  <c r="BP522" i="17"/>
  <c r="BL519" i="17"/>
  <c r="BL520" i="17"/>
  <c r="BL521" i="17"/>
  <c r="BL522" i="17"/>
  <c r="BH519" i="17"/>
  <c r="BH520" i="17"/>
  <c r="BH521" i="17"/>
  <c r="BH522" i="17"/>
  <c r="BD519" i="17"/>
  <c r="BD520" i="17"/>
  <c r="BD521" i="17"/>
  <c r="BD522" i="17"/>
  <c r="AZ519" i="17"/>
  <c r="AZ520" i="17"/>
  <c r="AZ521" i="17"/>
  <c r="AZ522" i="17"/>
  <c r="AV519" i="17"/>
  <c r="AV520" i="17"/>
  <c r="AV521" i="17"/>
  <c r="AV522" i="17"/>
  <c r="AR519" i="17"/>
  <c r="AR520" i="17"/>
  <c r="AR521" i="17"/>
  <c r="AR522" i="17"/>
  <c r="AO519" i="17"/>
  <c r="AO520" i="17"/>
  <c r="AO521" i="17"/>
  <c r="AO522" i="17"/>
  <c r="AN518" i="17"/>
  <c r="AS518" i="17" s="1"/>
  <c r="AW518" i="17" s="1"/>
  <c r="BA518" i="17" s="1"/>
  <c r="BE518" i="17" s="1"/>
  <c r="BI518" i="17" s="1"/>
  <c r="BM518" i="17" s="1"/>
  <c r="BQ518" i="17" s="1"/>
  <c r="BU518" i="17" s="1"/>
  <c r="BY518" i="17" s="1"/>
  <c r="AN519" i="17"/>
  <c r="AS519" i="17" s="1"/>
  <c r="AW519" i="17" s="1"/>
  <c r="BA519" i="17" s="1"/>
  <c r="BE519" i="17" s="1"/>
  <c r="BI519" i="17" s="1"/>
  <c r="BM519" i="17" s="1"/>
  <c r="BQ519" i="17" s="1"/>
  <c r="BU519" i="17" s="1"/>
  <c r="BY519" i="17" s="1"/>
  <c r="AN520" i="17"/>
  <c r="AS520" i="17" s="1"/>
  <c r="AW520" i="17" s="1"/>
  <c r="BA520" i="17" s="1"/>
  <c r="BE520" i="17" s="1"/>
  <c r="BI520" i="17" s="1"/>
  <c r="BM520" i="17" s="1"/>
  <c r="BQ520" i="17" s="1"/>
  <c r="BU520" i="17" s="1"/>
  <c r="BY520" i="17" s="1"/>
  <c r="AN521" i="17"/>
  <c r="AS521" i="17" s="1"/>
  <c r="AW521" i="17" s="1"/>
  <c r="BA521" i="17" s="1"/>
  <c r="BE521" i="17" s="1"/>
  <c r="BI521" i="17" s="1"/>
  <c r="BM521" i="17" s="1"/>
  <c r="BQ521" i="17" s="1"/>
  <c r="BU521" i="17" s="1"/>
  <c r="BY521" i="17" s="1"/>
  <c r="AN522" i="17"/>
  <c r="AS522" i="17" s="1"/>
  <c r="AW522" i="17" s="1"/>
  <c r="BA522" i="17" s="1"/>
  <c r="BE522" i="17" s="1"/>
  <c r="BI522" i="17" s="1"/>
  <c r="BM522" i="17" s="1"/>
  <c r="BQ522" i="17" s="1"/>
  <c r="BU522" i="17" s="1"/>
  <c r="BY522" i="17" s="1"/>
  <c r="L508" i="17"/>
  <c r="AM508" i="17" s="1"/>
  <c r="L509" i="17"/>
  <c r="AY509" i="17" s="1"/>
  <c r="L510" i="17"/>
  <c r="AY510" i="17" s="1"/>
  <c r="L511" i="17"/>
  <c r="BC511" i="17" s="1"/>
  <c r="L512" i="17"/>
  <c r="BS512" i="17" s="1"/>
  <c r="L513" i="17"/>
  <c r="AU513" i="17" s="1"/>
  <c r="L514" i="17"/>
  <c r="AQ514" i="17" s="1"/>
  <c r="L515" i="17"/>
  <c r="AY515" i="17" s="1"/>
  <c r="L516" i="17"/>
  <c r="AU516" i="17" s="1"/>
  <c r="L517" i="17"/>
  <c r="BO517" i="17" s="1"/>
  <c r="L518" i="17"/>
  <c r="AY518" i="17" s="1"/>
  <c r="L519" i="17"/>
  <c r="BC519" i="17" s="1"/>
  <c r="L520" i="17"/>
  <c r="AY520" i="17" s="1"/>
  <c r="L521" i="17"/>
  <c r="BK521" i="17" s="1"/>
  <c r="L522" i="17"/>
  <c r="BW522" i="17" s="1"/>
  <c r="L507" i="17"/>
  <c r="M519" i="17"/>
  <c r="O519" i="17" s="1"/>
  <c r="M520" i="17"/>
  <c r="O520" i="17" s="1"/>
  <c r="M521" i="17"/>
  <c r="O521" i="17" s="1"/>
  <c r="M522" i="17"/>
  <c r="O522" i="17" s="1"/>
  <c r="R519" i="17"/>
  <c r="I519" i="17" s="1"/>
  <c r="R520" i="17"/>
  <c r="I520" i="17" s="1"/>
  <c r="R521" i="17"/>
  <c r="I521" i="17" s="1"/>
  <c r="R522" i="17"/>
  <c r="I522" i="17" s="1"/>
  <c r="M36" i="17"/>
  <c r="M35" i="17"/>
  <c r="N35" i="17" s="1"/>
  <c r="M34" i="17"/>
  <c r="O34" i="17" s="1"/>
  <c r="P34" i="17" s="1"/>
  <c r="M33" i="17"/>
  <c r="O33" i="17" s="1"/>
  <c r="P33" i="17" s="1"/>
  <c r="M32" i="17"/>
  <c r="N32" i="17" s="1"/>
  <c r="M31" i="17"/>
  <c r="O31" i="17" s="1"/>
  <c r="P31" i="17" s="1"/>
  <c r="M30" i="17"/>
  <c r="M29" i="17"/>
  <c r="N29" i="17" s="1"/>
  <c r="I29" i="17"/>
  <c r="I30" i="17"/>
  <c r="I31" i="17"/>
  <c r="I32" i="17"/>
  <c r="I33" i="17"/>
  <c r="I34" i="17"/>
  <c r="I35" i="17"/>
  <c r="I36" i="17"/>
  <c r="H10" i="38"/>
  <c r="G10" i="38"/>
  <c r="F10" i="38"/>
  <c r="E10" i="38"/>
  <c r="D10" i="38"/>
  <c r="H8" i="38"/>
  <c r="G8" i="38"/>
  <c r="F8" i="38"/>
  <c r="E8" i="38"/>
  <c r="D8" i="38"/>
  <c r="I53" i="24"/>
  <c r="G53" i="24"/>
  <c r="E53" i="24"/>
  <c r="E37" i="7"/>
  <c r="D37" i="7"/>
  <c r="C37" i="7"/>
  <c r="I59" i="14"/>
  <c r="H59" i="14"/>
  <c r="G207" i="15" s="1"/>
  <c r="G59" i="14"/>
  <c r="E207" i="15" s="1"/>
  <c r="I102" i="15"/>
  <c r="G102" i="15"/>
  <c r="E102" i="15"/>
  <c r="H27" i="38"/>
  <c r="G27" i="38"/>
  <c r="F27" i="38"/>
  <c r="E27" i="38"/>
  <c r="D27" i="38"/>
  <c r="H22" i="38"/>
  <c r="G22" i="38"/>
  <c r="F22" i="38"/>
  <c r="E22" i="38"/>
  <c r="D22" i="38"/>
  <c r="H17" i="38"/>
  <c r="G17" i="38"/>
  <c r="F17" i="38"/>
  <c r="E17" i="38"/>
  <c r="D17" i="38"/>
  <c r="H15" i="38"/>
  <c r="G15" i="38"/>
  <c r="F15" i="38"/>
  <c r="E15" i="38"/>
  <c r="D15" i="38"/>
  <c r="E87" i="34"/>
  <c r="E44" i="37" s="1"/>
  <c r="E98" i="34"/>
  <c r="E45" i="37" s="1"/>
  <c r="O96" i="34"/>
  <c r="M96" i="34"/>
  <c r="K96" i="34"/>
  <c r="I96" i="34"/>
  <c r="G96" i="34"/>
  <c r="E96" i="34"/>
  <c r="O85" i="34"/>
  <c r="M85" i="34"/>
  <c r="K85" i="34"/>
  <c r="I85" i="34"/>
  <c r="G85" i="34"/>
  <c r="E85" i="34"/>
  <c r="I74" i="15"/>
  <c r="E65" i="34" s="1"/>
  <c r="E26" i="37" s="1"/>
  <c r="G74" i="15"/>
  <c r="G29" i="24" s="1"/>
  <c r="E74" i="15"/>
  <c r="E29" i="24" s="1"/>
  <c r="I124" i="15"/>
  <c r="I55" i="24" s="1"/>
  <c r="G124" i="15"/>
  <c r="G55" i="24" s="1"/>
  <c r="E124" i="15"/>
  <c r="E55" i="24" s="1"/>
  <c r="I114" i="15"/>
  <c r="I54" i="24" s="1"/>
  <c r="G114" i="15"/>
  <c r="G54" i="24" s="1"/>
  <c r="E114" i="15"/>
  <c r="E54" i="24" s="1"/>
  <c r="I122" i="15"/>
  <c r="G122" i="15"/>
  <c r="E122" i="15"/>
  <c r="I112" i="15"/>
  <c r="G112" i="15"/>
  <c r="E112" i="15"/>
  <c r="M7" i="34"/>
  <c r="O64" i="37"/>
  <c r="M64" i="37"/>
  <c r="K64" i="37"/>
  <c r="I64" i="37"/>
  <c r="G64" i="37"/>
  <c r="E64" i="37"/>
  <c r="O5" i="37"/>
  <c r="M5" i="37"/>
  <c r="K5" i="37"/>
  <c r="I5" i="37"/>
  <c r="G5" i="37"/>
  <c r="E5" i="37"/>
  <c r="O107" i="34"/>
  <c r="M107" i="34"/>
  <c r="K107" i="34"/>
  <c r="I107" i="34"/>
  <c r="G107" i="34"/>
  <c r="E107" i="34"/>
  <c r="O52" i="34"/>
  <c r="M52" i="34"/>
  <c r="K52" i="34"/>
  <c r="I52" i="34"/>
  <c r="G52" i="34"/>
  <c r="E52" i="34"/>
  <c r="O40" i="34"/>
  <c r="M40" i="34"/>
  <c r="K40" i="34"/>
  <c r="I40" i="34"/>
  <c r="G40" i="34"/>
  <c r="E40" i="34"/>
  <c r="O29" i="34"/>
  <c r="M29" i="34"/>
  <c r="K29" i="34"/>
  <c r="I29" i="34"/>
  <c r="G29" i="34"/>
  <c r="E29" i="34"/>
  <c r="O18" i="34"/>
  <c r="M18" i="34"/>
  <c r="K18" i="34"/>
  <c r="I18" i="34"/>
  <c r="G18" i="34"/>
  <c r="E18" i="34"/>
  <c r="O7" i="34"/>
  <c r="K7" i="34"/>
  <c r="I7" i="34"/>
  <c r="G7" i="34"/>
  <c r="E7" i="34"/>
  <c r="G12" i="14"/>
  <c r="H17" i="7"/>
  <c r="L25" i="5"/>
  <c r="K25" i="5"/>
  <c r="J25" i="5"/>
  <c r="I25" i="5"/>
  <c r="H25" i="5"/>
  <c r="G25" i="5"/>
  <c r="X25" i="5"/>
  <c r="W25" i="5"/>
  <c r="V25" i="5"/>
  <c r="U25" i="5"/>
  <c r="T25" i="5"/>
  <c r="S25" i="5"/>
  <c r="X12" i="5"/>
  <c r="W12" i="5"/>
  <c r="V12" i="5"/>
  <c r="U12" i="5"/>
  <c r="T12" i="5"/>
  <c r="S12" i="5"/>
  <c r="G12" i="5"/>
  <c r="E86" i="37" s="1"/>
  <c r="L12" i="5"/>
  <c r="O71" i="37" s="1"/>
  <c r="K12" i="5"/>
  <c r="M86" i="37" s="1"/>
  <c r="J12" i="5"/>
  <c r="K71" i="37" s="1"/>
  <c r="I12" i="5"/>
  <c r="I71" i="37" s="1"/>
  <c r="H12" i="5"/>
  <c r="G71" i="37" s="1"/>
  <c r="J13" i="29"/>
  <c r="J41" i="29" s="1"/>
  <c r="H13" i="29"/>
  <c r="H41" i="29" s="1"/>
  <c r="F13" i="29"/>
  <c r="F41" i="29" s="1"/>
  <c r="C41" i="29"/>
  <c r="D22" i="7"/>
  <c r="BX508" i="17"/>
  <c r="BX509" i="17"/>
  <c r="BX510" i="17"/>
  <c r="BX511" i="17"/>
  <c r="BX512" i="17"/>
  <c r="BX513" i="17"/>
  <c r="BX514" i="17"/>
  <c r="BX515" i="17"/>
  <c r="BX516" i="17"/>
  <c r="BX517" i="17"/>
  <c r="BX518" i="17"/>
  <c r="AN511" i="17"/>
  <c r="AS511" i="17" s="1"/>
  <c r="AW511" i="17" s="1"/>
  <c r="BA511" i="17" s="1"/>
  <c r="BE511" i="17" s="1"/>
  <c r="BI511" i="17" s="1"/>
  <c r="BM511" i="17" s="1"/>
  <c r="BQ511" i="17" s="1"/>
  <c r="BU511" i="17" s="1"/>
  <c r="BY511" i="17" s="1"/>
  <c r="AN512" i="17"/>
  <c r="AS512" i="17" s="1"/>
  <c r="AW512" i="17" s="1"/>
  <c r="BA512" i="17" s="1"/>
  <c r="BE512" i="17" s="1"/>
  <c r="BI512" i="17" s="1"/>
  <c r="BM512" i="17" s="1"/>
  <c r="BQ512" i="17" s="1"/>
  <c r="BU512" i="17" s="1"/>
  <c r="BY512" i="17" s="1"/>
  <c r="AN513" i="17"/>
  <c r="AS513" i="17" s="1"/>
  <c r="AW513" i="17" s="1"/>
  <c r="BA513" i="17" s="1"/>
  <c r="BE513" i="17" s="1"/>
  <c r="BI513" i="17" s="1"/>
  <c r="BM513" i="17" s="1"/>
  <c r="BQ513" i="17" s="1"/>
  <c r="BU513" i="17" s="1"/>
  <c r="BY513" i="17" s="1"/>
  <c r="AN514" i="17"/>
  <c r="AS514" i="17" s="1"/>
  <c r="AW514" i="17" s="1"/>
  <c r="BA514" i="17" s="1"/>
  <c r="BE514" i="17" s="1"/>
  <c r="BI514" i="17" s="1"/>
  <c r="BM514" i="17" s="1"/>
  <c r="BQ514" i="17" s="1"/>
  <c r="BU514" i="17" s="1"/>
  <c r="BY514" i="17" s="1"/>
  <c r="AN515" i="17"/>
  <c r="AS515" i="17" s="1"/>
  <c r="AW515" i="17" s="1"/>
  <c r="BA515" i="17" s="1"/>
  <c r="BE515" i="17" s="1"/>
  <c r="BI515" i="17" s="1"/>
  <c r="BM515" i="17" s="1"/>
  <c r="BQ515" i="17" s="1"/>
  <c r="BU515" i="17" s="1"/>
  <c r="BY515" i="17" s="1"/>
  <c r="AN516" i="17"/>
  <c r="AS516" i="17" s="1"/>
  <c r="AW516" i="17" s="1"/>
  <c r="BA516" i="17" s="1"/>
  <c r="BE516" i="17" s="1"/>
  <c r="BI516" i="17" s="1"/>
  <c r="BM516" i="17" s="1"/>
  <c r="BQ516" i="17" s="1"/>
  <c r="BU516" i="17" s="1"/>
  <c r="BY516" i="17" s="1"/>
  <c r="AN517" i="17"/>
  <c r="AS517" i="17" s="1"/>
  <c r="AW517" i="17" s="1"/>
  <c r="BA517" i="17" s="1"/>
  <c r="BE517" i="17" s="1"/>
  <c r="BI517" i="17" s="1"/>
  <c r="BM517" i="17" s="1"/>
  <c r="BQ517" i="17" s="1"/>
  <c r="BU517" i="17" s="1"/>
  <c r="BY517" i="17" s="1"/>
  <c r="M17" i="17"/>
  <c r="N17" i="17" s="1"/>
  <c r="M18" i="17"/>
  <c r="N18" i="17" s="1"/>
  <c r="U18" i="17" s="1"/>
  <c r="M19" i="17"/>
  <c r="O19" i="17" s="1"/>
  <c r="P19" i="17" s="1"/>
  <c r="M20" i="17"/>
  <c r="N20" i="17" s="1"/>
  <c r="V20" i="17" s="1"/>
  <c r="M21" i="17"/>
  <c r="O21" i="17" s="1"/>
  <c r="P21" i="17" s="1"/>
  <c r="M22" i="17"/>
  <c r="N22" i="17" s="1"/>
  <c r="M23" i="17"/>
  <c r="N23" i="17" s="1"/>
  <c r="M24" i="17"/>
  <c r="N24" i="17" s="1"/>
  <c r="M25" i="17"/>
  <c r="M26" i="17"/>
  <c r="N26" i="17" s="1"/>
  <c r="M27" i="17"/>
  <c r="M28" i="17"/>
  <c r="N28" i="17" s="1"/>
  <c r="M507" i="17"/>
  <c r="O507" i="17" s="1"/>
  <c r="M508" i="17"/>
  <c r="O508" i="17" s="1"/>
  <c r="M509" i="17"/>
  <c r="O509" i="17" s="1"/>
  <c r="M510" i="17"/>
  <c r="O510" i="17" s="1"/>
  <c r="M511" i="17"/>
  <c r="O511" i="17" s="1"/>
  <c r="M512" i="17"/>
  <c r="O512" i="17" s="1"/>
  <c r="M513" i="17"/>
  <c r="O513" i="17" s="1"/>
  <c r="M514" i="17"/>
  <c r="O514" i="17" s="1"/>
  <c r="M515" i="17"/>
  <c r="O515" i="17" s="1"/>
  <c r="M516" i="17"/>
  <c r="O516" i="17" s="1"/>
  <c r="M517" i="17"/>
  <c r="O517" i="17" s="1"/>
  <c r="M518" i="17"/>
  <c r="O518" i="17" s="1"/>
  <c r="I81" i="24"/>
  <c r="G81" i="24"/>
  <c r="E81" i="24"/>
  <c r="J9" i="22"/>
  <c r="I9" i="22"/>
  <c r="H9" i="22"/>
  <c r="I65" i="24"/>
  <c r="G65" i="24"/>
  <c r="E65" i="24"/>
  <c r="I28" i="24"/>
  <c r="G28" i="24"/>
  <c r="E28" i="24"/>
  <c r="I5" i="24"/>
  <c r="G5" i="24"/>
  <c r="E5" i="24"/>
  <c r="I215" i="15"/>
  <c r="G215" i="15"/>
  <c r="E215" i="15"/>
  <c r="I205" i="15"/>
  <c r="G205" i="15"/>
  <c r="E205" i="15"/>
  <c r="I195" i="15"/>
  <c r="G195" i="15"/>
  <c r="E195" i="15"/>
  <c r="I185" i="15"/>
  <c r="G185" i="15"/>
  <c r="E185" i="15"/>
  <c r="I175" i="15"/>
  <c r="G175" i="15"/>
  <c r="E175" i="15"/>
  <c r="I164" i="15"/>
  <c r="G164" i="15"/>
  <c r="E164" i="15"/>
  <c r="I153" i="15"/>
  <c r="G153" i="15"/>
  <c r="E153" i="15"/>
  <c r="I143" i="15"/>
  <c r="G143" i="15"/>
  <c r="E143" i="15"/>
  <c r="I132" i="15"/>
  <c r="G132" i="15"/>
  <c r="E132" i="15"/>
  <c r="I92" i="15"/>
  <c r="G92" i="15"/>
  <c r="E92" i="15"/>
  <c r="I82" i="15"/>
  <c r="G82" i="15"/>
  <c r="E82" i="15"/>
  <c r="I72" i="15"/>
  <c r="G72" i="15"/>
  <c r="E72" i="15"/>
  <c r="I61" i="15"/>
  <c r="G61" i="15"/>
  <c r="E61" i="15"/>
  <c r="I49" i="15"/>
  <c r="G49" i="15"/>
  <c r="E49" i="15"/>
  <c r="I38" i="15"/>
  <c r="G38" i="15"/>
  <c r="E38" i="15"/>
  <c r="I28" i="15"/>
  <c r="G28" i="15"/>
  <c r="E28" i="15"/>
  <c r="I18" i="15"/>
  <c r="G18" i="15"/>
  <c r="E18" i="15"/>
  <c r="I7" i="15"/>
  <c r="G7" i="15"/>
  <c r="E7" i="15"/>
  <c r="I12" i="14"/>
  <c r="H12" i="14"/>
  <c r="A128" i="30"/>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74" i="30"/>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20" i="30"/>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V167" i="30"/>
  <c r="V166" i="30"/>
  <c r="V165" i="30"/>
  <c r="V164" i="30"/>
  <c r="V163" i="30"/>
  <c r="V162" i="30"/>
  <c r="V161" i="30"/>
  <c r="V160" i="30"/>
  <c r="V159" i="30"/>
  <c r="V158" i="30"/>
  <c r="V157" i="30"/>
  <c r="V156" i="30"/>
  <c r="V155" i="30"/>
  <c r="V154" i="30"/>
  <c r="V153" i="30"/>
  <c r="V152" i="30"/>
  <c r="V151" i="30"/>
  <c r="V150" i="30"/>
  <c r="V149" i="30"/>
  <c r="V148" i="30"/>
  <c r="V147" i="30"/>
  <c r="V146" i="30"/>
  <c r="V145" i="30"/>
  <c r="V144" i="30"/>
  <c r="V143" i="30"/>
  <c r="V142" i="30"/>
  <c r="V141" i="30"/>
  <c r="V140" i="30"/>
  <c r="V139" i="30"/>
  <c r="V138" i="30"/>
  <c r="V137" i="30"/>
  <c r="V136" i="30"/>
  <c r="V135" i="30"/>
  <c r="V134" i="30"/>
  <c r="V133" i="30"/>
  <c r="V132" i="30"/>
  <c r="V131" i="30"/>
  <c r="V130" i="30"/>
  <c r="V129" i="30"/>
  <c r="V128" i="30"/>
  <c r="U143" i="30"/>
  <c r="R167" i="30"/>
  <c r="R166" i="30"/>
  <c r="U166" i="30" s="1"/>
  <c r="R165" i="30"/>
  <c r="X165" i="30" s="1"/>
  <c r="R164" i="30"/>
  <c r="R163" i="30"/>
  <c r="S163" i="30" s="1"/>
  <c r="R162" i="30"/>
  <c r="R161" i="30"/>
  <c r="S161" i="30" s="1"/>
  <c r="R160" i="30"/>
  <c r="R159" i="30"/>
  <c r="R158" i="30"/>
  <c r="U158" i="30" s="1"/>
  <c r="R157" i="30"/>
  <c r="X157" i="30" s="1"/>
  <c r="R156" i="30"/>
  <c r="R155" i="30"/>
  <c r="U155" i="30" s="1"/>
  <c r="R154" i="30"/>
  <c r="U154" i="30" s="1"/>
  <c r="X154" i="30"/>
  <c r="R153" i="30"/>
  <c r="U153" i="30" s="1"/>
  <c r="R152" i="30"/>
  <c r="X152" i="30" s="1"/>
  <c r="R151" i="30"/>
  <c r="U151" i="30" s="1"/>
  <c r="R150" i="30"/>
  <c r="R149" i="30"/>
  <c r="R148" i="30"/>
  <c r="S148" i="30" s="1"/>
  <c r="R147" i="30"/>
  <c r="R146" i="30"/>
  <c r="X146" i="30" s="1"/>
  <c r="R145" i="30"/>
  <c r="X145" i="30" s="1"/>
  <c r="R144" i="30"/>
  <c r="R143" i="30"/>
  <c r="S143" i="30" s="1"/>
  <c r="R142" i="30"/>
  <c r="R141" i="30"/>
  <c r="X141" i="30" s="1"/>
  <c r="U141" i="30"/>
  <c r="R140" i="30"/>
  <c r="X140" i="30" s="1"/>
  <c r="R139" i="30"/>
  <c r="R138" i="30"/>
  <c r="R137" i="30"/>
  <c r="R136" i="30"/>
  <c r="S136" i="30" s="1"/>
  <c r="R135" i="30"/>
  <c r="U135" i="30" s="1"/>
  <c r="R134" i="30"/>
  <c r="S134" i="30" s="1"/>
  <c r="R133" i="30"/>
  <c r="U133" i="30" s="1"/>
  <c r="R132" i="30"/>
  <c r="U132" i="30" s="1"/>
  <c r="S132" i="30"/>
  <c r="R131" i="30"/>
  <c r="R130" i="30"/>
  <c r="U130" i="30" s="1"/>
  <c r="R129" i="30"/>
  <c r="R128" i="30"/>
  <c r="U128" i="30" s="1"/>
  <c r="K128" i="30"/>
  <c r="N128" i="30" s="1"/>
  <c r="J167" i="30"/>
  <c r="J166" i="30"/>
  <c r="K166" i="30" s="1"/>
  <c r="N166" i="30" s="1"/>
  <c r="J165" i="30"/>
  <c r="J164" i="30"/>
  <c r="J163" i="30"/>
  <c r="K163" i="30" s="1"/>
  <c r="N163" i="30" s="1"/>
  <c r="J162" i="30"/>
  <c r="P162" i="30" s="1"/>
  <c r="J161" i="30"/>
  <c r="P161" i="30" s="1"/>
  <c r="J160" i="30"/>
  <c r="J159" i="30"/>
  <c r="M159" i="30" s="1"/>
  <c r="K159" i="30"/>
  <c r="N159" i="30"/>
  <c r="J158" i="30"/>
  <c r="M158" i="30" s="1"/>
  <c r="J157" i="30"/>
  <c r="M157" i="30" s="1"/>
  <c r="J156" i="30"/>
  <c r="J155" i="30"/>
  <c r="J154" i="30"/>
  <c r="J153" i="30"/>
  <c r="P153" i="30" s="1"/>
  <c r="J152" i="30"/>
  <c r="J151" i="30"/>
  <c r="M151" i="30" s="1"/>
  <c r="J150" i="30"/>
  <c r="P150" i="30" s="1"/>
  <c r="J149" i="30"/>
  <c r="K149" i="30" s="1"/>
  <c r="N149" i="30" s="1"/>
  <c r="J148" i="30"/>
  <c r="J147" i="30"/>
  <c r="K147" i="30" s="1"/>
  <c r="N147" i="30" s="1"/>
  <c r="J146" i="30"/>
  <c r="J145" i="30"/>
  <c r="K145" i="30" s="1"/>
  <c r="N145" i="30" s="1"/>
  <c r="J144" i="30"/>
  <c r="J143" i="30"/>
  <c r="K143" i="30" s="1"/>
  <c r="N143" i="30" s="1"/>
  <c r="J142" i="30"/>
  <c r="J141" i="30"/>
  <c r="K141" i="30" s="1"/>
  <c r="N141" i="30" s="1"/>
  <c r="J140" i="30"/>
  <c r="J139" i="30"/>
  <c r="J138" i="30"/>
  <c r="K138" i="30"/>
  <c r="N138" i="30" s="1"/>
  <c r="J137" i="30"/>
  <c r="J136" i="30"/>
  <c r="J135" i="30"/>
  <c r="J134" i="30"/>
  <c r="J133" i="30"/>
  <c r="M133" i="30" s="1"/>
  <c r="J132" i="30"/>
  <c r="J131" i="30"/>
  <c r="K131" i="30" s="1"/>
  <c r="J130" i="30"/>
  <c r="P130" i="30" s="1"/>
  <c r="J129" i="30"/>
  <c r="J128" i="30"/>
  <c r="P128" i="30" s="1"/>
  <c r="C128" i="30"/>
  <c r="B167" i="30"/>
  <c r="E167" i="30" s="1"/>
  <c r="B166" i="30"/>
  <c r="B165" i="30"/>
  <c r="B164" i="30"/>
  <c r="F164" i="30" s="1"/>
  <c r="B163" i="30"/>
  <c r="B162" i="30"/>
  <c r="B161" i="30"/>
  <c r="B160" i="30"/>
  <c r="B159" i="30"/>
  <c r="E159" i="30" s="1"/>
  <c r="B158" i="30"/>
  <c r="B157" i="30"/>
  <c r="B156" i="30"/>
  <c r="H156" i="30" s="1"/>
  <c r="B155" i="30"/>
  <c r="E155" i="30" s="1"/>
  <c r="B154" i="30"/>
  <c r="B153" i="30"/>
  <c r="B152" i="30"/>
  <c r="E152" i="30" s="1"/>
  <c r="B151" i="30"/>
  <c r="C151" i="30" s="1"/>
  <c r="B150" i="30"/>
  <c r="B149" i="30"/>
  <c r="E149" i="30" s="1"/>
  <c r="B148" i="30"/>
  <c r="H148" i="30" s="1"/>
  <c r="B147" i="30"/>
  <c r="H147" i="30" s="1"/>
  <c r="B146" i="30"/>
  <c r="B145" i="30"/>
  <c r="B144" i="30"/>
  <c r="H144" i="30" s="1"/>
  <c r="B143" i="30"/>
  <c r="F143" i="30" s="1"/>
  <c r="B142" i="30"/>
  <c r="B141" i="30"/>
  <c r="B140" i="30"/>
  <c r="H140" i="30" s="1"/>
  <c r="B139" i="30"/>
  <c r="B138" i="30"/>
  <c r="B137" i="30"/>
  <c r="B136" i="30"/>
  <c r="H136" i="30" s="1"/>
  <c r="B135" i="30"/>
  <c r="B134" i="30"/>
  <c r="B133" i="30"/>
  <c r="B132" i="30"/>
  <c r="B131" i="30"/>
  <c r="B130" i="30"/>
  <c r="B129" i="30"/>
  <c r="B128" i="30"/>
  <c r="K158" i="30"/>
  <c r="N158" i="30" s="1"/>
  <c r="R113" i="30"/>
  <c r="R112" i="30"/>
  <c r="R111" i="30"/>
  <c r="S111" i="30" s="1"/>
  <c r="R110" i="30"/>
  <c r="U110" i="30" s="1"/>
  <c r="R109" i="30"/>
  <c r="S109" i="30" s="1"/>
  <c r="R108" i="30"/>
  <c r="R107" i="30"/>
  <c r="U107" i="30" s="1"/>
  <c r="R106" i="30"/>
  <c r="X106" i="30" s="1"/>
  <c r="R105" i="30"/>
  <c r="S105" i="30" s="1"/>
  <c r="R104" i="30"/>
  <c r="X104" i="30" s="1"/>
  <c r="R103" i="30"/>
  <c r="R102" i="30"/>
  <c r="S102" i="30" s="1"/>
  <c r="R101" i="30"/>
  <c r="R100" i="30"/>
  <c r="U100" i="30" s="1"/>
  <c r="R99" i="30"/>
  <c r="U99" i="30" s="1"/>
  <c r="R98" i="30"/>
  <c r="U98" i="30" s="1"/>
  <c r="R97" i="30"/>
  <c r="R96" i="30"/>
  <c r="U96" i="30" s="1"/>
  <c r="R95" i="30"/>
  <c r="S95" i="30" s="1"/>
  <c r="R94" i="30"/>
  <c r="R93" i="30"/>
  <c r="R92" i="30"/>
  <c r="R91" i="30"/>
  <c r="U91" i="30" s="1"/>
  <c r="R90" i="30"/>
  <c r="R89" i="30"/>
  <c r="X89" i="30" s="1"/>
  <c r="R88" i="30"/>
  <c r="X88" i="30" s="1"/>
  <c r="R87" i="30"/>
  <c r="U87" i="30" s="1"/>
  <c r="R86" i="30"/>
  <c r="S86" i="30" s="1"/>
  <c r="R85" i="30"/>
  <c r="X85" i="30" s="1"/>
  <c r="R84" i="30"/>
  <c r="R83" i="30"/>
  <c r="U83" i="30" s="1"/>
  <c r="R82" i="30"/>
  <c r="S82" i="30"/>
  <c r="U82" i="30"/>
  <c r="X82" i="30"/>
  <c r="R81" i="30"/>
  <c r="U81" i="30"/>
  <c r="R80" i="30"/>
  <c r="R79" i="30"/>
  <c r="U79" i="30" s="1"/>
  <c r="R78" i="30"/>
  <c r="R77" i="30"/>
  <c r="X77" i="30" s="1"/>
  <c r="R76" i="30"/>
  <c r="R75" i="30"/>
  <c r="X75" i="30" s="1"/>
  <c r="J113" i="30"/>
  <c r="J112" i="30"/>
  <c r="P112" i="30" s="1"/>
  <c r="J111" i="30"/>
  <c r="J110" i="30"/>
  <c r="P110" i="30" s="1"/>
  <c r="J109" i="30"/>
  <c r="J108" i="30"/>
  <c r="P108" i="30" s="1"/>
  <c r="J107" i="30"/>
  <c r="J106" i="30"/>
  <c r="J105" i="30"/>
  <c r="J104" i="30"/>
  <c r="K104" i="30" s="1"/>
  <c r="N104" i="30" s="1"/>
  <c r="J103" i="30"/>
  <c r="K103" i="30" s="1"/>
  <c r="N103" i="30" s="1"/>
  <c r="J102" i="30"/>
  <c r="P102" i="30" s="1"/>
  <c r="J101" i="30"/>
  <c r="K101" i="30" s="1"/>
  <c r="N101" i="30" s="1"/>
  <c r="J100" i="30"/>
  <c r="J99" i="30"/>
  <c r="J98" i="30"/>
  <c r="J97" i="30"/>
  <c r="J96" i="30"/>
  <c r="K96" i="30" s="1"/>
  <c r="N96" i="30" s="1"/>
  <c r="J95" i="30"/>
  <c r="M95" i="30" s="1"/>
  <c r="J94" i="30"/>
  <c r="P94" i="30" s="1"/>
  <c r="J93" i="30"/>
  <c r="J92" i="30"/>
  <c r="M92" i="30" s="1"/>
  <c r="J91" i="30"/>
  <c r="J90" i="30"/>
  <c r="J89" i="30"/>
  <c r="J88" i="30"/>
  <c r="M88" i="30" s="1"/>
  <c r="J87" i="30"/>
  <c r="J86" i="30"/>
  <c r="J85" i="30"/>
  <c r="J84" i="30"/>
  <c r="J83" i="30"/>
  <c r="J82" i="30"/>
  <c r="K82" i="30" s="1"/>
  <c r="N82" i="30" s="1"/>
  <c r="J81" i="30"/>
  <c r="J80" i="30"/>
  <c r="J79" i="30"/>
  <c r="J78" i="30"/>
  <c r="M78" i="30" s="1"/>
  <c r="J77" i="30"/>
  <c r="J76" i="30"/>
  <c r="J75" i="30"/>
  <c r="R74" i="30"/>
  <c r="X74" i="30" s="1"/>
  <c r="J74" i="30"/>
  <c r="B113" i="30"/>
  <c r="C113" i="30" s="1"/>
  <c r="B112" i="30"/>
  <c r="B111" i="30"/>
  <c r="B110" i="30"/>
  <c r="B109" i="30"/>
  <c r="H109" i="30" s="1"/>
  <c r="B108" i="30"/>
  <c r="B107" i="30"/>
  <c r="E107" i="30" s="1"/>
  <c r="B106" i="30"/>
  <c r="B105" i="30"/>
  <c r="F105" i="30" s="1"/>
  <c r="B104" i="30"/>
  <c r="B103" i="30"/>
  <c r="B102" i="30"/>
  <c r="B101" i="30"/>
  <c r="H101" i="30" s="1"/>
  <c r="B100" i="30"/>
  <c r="B99" i="30"/>
  <c r="B98" i="30"/>
  <c r="C98" i="30" s="1"/>
  <c r="B97" i="30"/>
  <c r="H97" i="30" s="1"/>
  <c r="B96" i="30"/>
  <c r="B95" i="30"/>
  <c r="B94" i="30"/>
  <c r="B93" i="30"/>
  <c r="H93" i="30" s="1"/>
  <c r="B92" i="30"/>
  <c r="C92" i="30" s="1"/>
  <c r="B91" i="30"/>
  <c r="B90" i="30"/>
  <c r="B89" i="30"/>
  <c r="F89" i="30" s="1"/>
  <c r="B88" i="30"/>
  <c r="B87" i="30"/>
  <c r="B86" i="30"/>
  <c r="B85" i="30"/>
  <c r="B84" i="30"/>
  <c r="B83" i="30"/>
  <c r="H83" i="30" s="1"/>
  <c r="B82" i="30"/>
  <c r="E82" i="30" s="1"/>
  <c r="B81" i="30"/>
  <c r="C81" i="30" s="1"/>
  <c r="B80" i="30"/>
  <c r="B79" i="30"/>
  <c r="E79" i="30" s="1"/>
  <c r="B78" i="30"/>
  <c r="B77" i="30"/>
  <c r="C77" i="30" s="1"/>
  <c r="B76" i="30"/>
  <c r="C76" i="30" s="1"/>
  <c r="B75" i="30"/>
  <c r="C75" i="30" s="1"/>
  <c r="B74" i="30"/>
  <c r="E74" i="30" s="1"/>
  <c r="V113" i="30"/>
  <c r="V112" i="30"/>
  <c r="V111" i="30"/>
  <c r="V110" i="30"/>
  <c r="V109" i="30"/>
  <c r="V108" i="30"/>
  <c r="V107" i="30"/>
  <c r="V106" i="30"/>
  <c r="V105" i="30"/>
  <c r="V104" i="30"/>
  <c r="V103" i="30"/>
  <c r="V102" i="30"/>
  <c r="V101" i="30"/>
  <c r="V100" i="30"/>
  <c r="V99" i="30"/>
  <c r="V98" i="30"/>
  <c r="V97" i="30"/>
  <c r="V96" i="30"/>
  <c r="V95" i="30"/>
  <c r="V94" i="30"/>
  <c r="V93" i="30"/>
  <c r="V92" i="30"/>
  <c r="V91" i="30"/>
  <c r="V90" i="30"/>
  <c r="V89" i="30"/>
  <c r="V88" i="30"/>
  <c r="V87" i="30"/>
  <c r="V86" i="30"/>
  <c r="V85" i="30"/>
  <c r="V84" i="30"/>
  <c r="V83" i="30"/>
  <c r="V82" i="30"/>
  <c r="V81" i="30"/>
  <c r="V80" i="30"/>
  <c r="V79" i="30"/>
  <c r="V78" i="30"/>
  <c r="V77" i="30"/>
  <c r="V76" i="30"/>
  <c r="V75" i="30"/>
  <c r="V74" i="30"/>
  <c r="K74" i="30"/>
  <c r="N74" i="30" s="1"/>
  <c r="H74" i="30"/>
  <c r="C74" i="30"/>
  <c r="J10" i="22"/>
  <c r="J16" i="22" s="1"/>
  <c r="I10" i="22"/>
  <c r="I16" i="22" s="1"/>
  <c r="H10" i="22"/>
  <c r="H16" i="22" s="1"/>
  <c r="S81" i="30"/>
  <c r="S112" i="30"/>
  <c r="S108" i="30"/>
  <c r="S142" i="30"/>
  <c r="S128" i="30"/>
  <c r="S152" i="30"/>
  <c r="H160" i="30"/>
  <c r="M166" i="30"/>
  <c r="S153" i="30"/>
  <c r="S141" i="30"/>
  <c r="S133" i="30"/>
  <c r="X133" i="30"/>
  <c r="F159" i="30"/>
  <c r="X167" i="30"/>
  <c r="X128" i="30"/>
  <c r="X81" i="30"/>
  <c r="X135" i="30"/>
  <c r="X155" i="30"/>
  <c r="P158" i="30"/>
  <c r="X136" i="30"/>
  <c r="U84" i="30"/>
  <c r="U104" i="30"/>
  <c r="H75" i="30"/>
  <c r="F74" i="30"/>
  <c r="H26" i="14"/>
  <c r="J92" i="29"/>
  <c r="H92" i="29"/>
  <c r="F92" i="29"/>
  <c r="D92" i="29"/>
  <c r="C92" i="29"/>
  <c r="J84" i="29"/>
  <c r="H84" i="29"/>
  <c r="F84" i="29"/>
  <c r="F93" i="29" s="1"/>
  <c r="D84" i="29"/>
  <c r="C84" i="29"/>
  <c r="J59" i="29"/>
  <c r="H59" i="29"/>
  <c r="H71" i="29" s="1"/>
  <c r="F59" i="29"/>
  <c r="F71" i="29" s="1"/>
  <c r="D59" i="29"/>
  <c r="C59" i="29"/>
  <c r="C71" i="29" s="1"/>
  <c r="I20" i="14"/>
  <c r="I82" i="24"/>
  <c r="H20" i="14"/>
  <c r="C20" i="30"/>
  <c r="J67" i="24"/>
  <c r="H67" i="24"/>
  <c r="F67" i="24"/>
  <c r="J31" i="24"/>
  <c r="H31" i="24"/>
  <c r="F31" i="24"/>
  <c r="J29" i="24"/>
  <c r="H29" i="24"/>
  <c r="F29" i="24"/>
  <c r="BT508" i="17"/>
  <c r="BT509" i="17"/>
  <c r="BT510" i="17"/>
  <c r="BT511" i="17"/>
  <c r="BT512" i="17"/>
  <c r="BT513" i="17"/>
  <c r="BT514" i="17"/>
  <c r="BT515" i="17"/>
  <c r="BT516" i="17"/>
  <c r="BT517" i="17"/>
  <c r="BT518" i="17"/>
  <c r="BP508" i="17"/>
  <c r="BP509" i="17"/>
  <c r="BP510" i="17"/>
  <c r="BP511" i="17"/>
  <c r="BP512" i="17"/>
  <c r="BP513" i="17"/>
  <c r="BP514" i="17"/>
  <c r="BP515" i="17"/>
  <c r="BP516" i="17"/>
  <c r="BP517" i="17"/>
  <c r="BP518" i="17"/>
  <c r="BL508" i="17"/>
  <c r="BL509" i="17"/>
  <c r="BL510" i="17"/>
  <c r="BL511" i="17"/>
  <c r="BL512" i="17"/>
  <c r="BL513" i="17"/>
  <c r="BL514" i="17"/>
  <c r="BL515" i="17"/>
  <c r="BL516" i="17"/>
  <c r="BL517" i="17"/>
  <c r="BL518" i="17"/>
  <c r="BH508" i="17"/>
  <c r="BH509" i="17"/>
  <c r="BH510" i="17"/>
  <c r="BH511" i="17"/>
  <c r="BH512" i="17"/>
  <c r="BH513" i="17"/>
  <c r="BH514" i="17"/>
  <c r="BH515" i="17"/>
  <c r="BH516" i="17"/>
  <c r="BH517" i="17"/>
  <c r="BH518" i="17"/>
  <c r="BD508" i="17"/>
  <c r="BD509" i="17"/>
  <c r="BD510" i="17"/>
  <c r="BD511" i="17"/>
  <c r="BD512" i="17"/>
  <c r="BD513" i="17"/>
  <c r="BD514" i="17"/>
  <c r="BD515" i="17"/>
  <c r="BD516" i="17"/>
  <c r="BD517" i="17"/>
  <c r="BD518" i="17"/>
  <c r="AZ508" i="17"/>
  <c r="AZ509" i="17"/>
  <c r="AZ510" i="17"/>
  <c r="AZ511" i="17"/>
  <c r="AZ512" i="17"/>
  <c r="AZ513" i="17"/>
  <c r="AZ514" i="17"/>
  <c r="AZ515" i="17"/>
  <c r="AZ516" i="17"/>
  <c r="AZ517" i="17"/>
  <c r="AZ518" i="17"/>
  <c r="AV508" i="17"/>
  <c r="AV509" i="17"/>
  <c r="AV510" i="17"/>
  <c r="AV511" i="17"/>
  <c r="AV512" i="17"/>
  <c r="AV513" i="17"/>
  <c r="AV514" i="17"/>
  <c r="AV515" i="17"/>
  <c r="AV516" i="17"/>
  <c r="AV517" i="17"/>
  <c r="AV518" i="17"/>
  <c r="AR508" i="17"/>
  <c r="AR509" i="17"/>
  <c r="AR510" i="17"/>
  <c r="AR511" i="17"/>
  <c r="AR512" i="17"/>
  <c r="AR513" i="17"/>
  <c r="AR514" i="17"/>
  <c r="AR515" i="17"/>
  <c r="AR516" i="17"/>
  <c r="AR517" i="17"/>
  <c r="AR518" i="17"/>
  <c r="AO508" i="17"/>
  <c r="AO509" i="17"/>
  <c r="AO510" i="17"/>
  <c r="AO511" i="17"/>
  <c r="AO512" i="17"/>
  <c r="AO513" i="17"/>
  <c r="AO514" i="17"/>
  <c r="AO515" i="17"/>
  <c r="AO516" i="17"/>
  <c r="AO517" i="17"/>
  <c r="AO518" i="17"/>
  <c r="V59" i="30"/>
  <c r="V58" i="30"/>
  <c r="V57" i="30"/>
  <c r="V56" i="30"/>
  <c r="V55" i="30"/>
  <c r="V54" i="30"/>
  <c r="V53" i="30"/>
  <c r="V52" i="30"/>
  <c r="V51" i="30"/>
  <c r="V50" i="30"/>
  <c r="V49" i="30"/>
  <c r="V48" i="30"/>
  <c r="V47" i="30"/>
  <c r="V46" i="30"/>
  <c r="V45" i="30"/>
  <c r="V44" i="30"/>
  <c r="V43" i="30"/>
  <c r="V42" i="30"/>
  <c r="V41" i="30"/>
  <c r="V40" i="30"/>
  <c r="V39" i="30"/>
  <c r="V38" i="30"/>
  <c r="V37" i="30"/>
  <c r="V36" i="30"/>
  <c r="V35" i="30"/>
  <c r="V34" i="30"/>
  <c r="V33" i="30"/>
  <c r="V32" i="30"/>
  <c r="V31" i="30"/>
  <c r="V30" i="30"/>
  <c r="V29" i="30"/>
  <c r="V28" i="30"/>
  <c r="V27" i="30"/>
  <c r="V26" i="30"/>
  <c r="V25" i="30"/>
  <c r="V24" i="30"/>
  <c r="V23" i="30"/>
  <c r="V22" i="30"/>
  <c r="V21" i="30"/>
  <c r="V20" i="30"/>
  <c r="B25" i="29"/>
  <c r="R59" i="30"/>
  <c r="S59" i="30" s="1"/>
  <c r="R58" i="30"/>
  <c r="X58" i="30" s="1"/>
  <c r="R57" i="30"/>
  <c r="R56" i="30"/>
  <c r="X56" i="30" s="1"/>
  <c r="R55" i="30"/>
  <c r="X55" i="30" s="1"/>
  <c r="R54" i="30"/>
  <c r="R53" i="30"/>
  <c r="X53" i="30" s="1"/>
  <c r="R52" i="30"/>
  <c r="X52" i="30" s="1"/>
  <c r="R51" i="30"/>
  <c r="U51" i="30" s="1"/>
  <c r="R50" i="30"/>
  <c r="R49" i="30"/>
  <c r="S49" i="30" s="1"/>
  <c r="R48" i="30"/>
  <c r="U48" i="30" s="1"/>
  <c r="R47" i="30"/>
  <c r="X47" i="30" s="1"/>
  <c r="R46" i="30"/>
  <c r="R45" i="30"/>
  <c r="X45" i="30" s="1"/>
  <c r="R44" i="30"/>
  <c r="R43" i="30"/>
  <c r="R42" i="30"/>
  <c r="S42" i="30" s="1"/>
  <c r="R41" i="30"/>
  <c r="U41" i="30" s="1"/>
  <c r="R40" i="30"/>
  <c r="X40" i="30" s="1"/>
  <c r="R39" i="30"/>
  <c r="X39" i="30" s="1"/>
  <c r="R38" i="30"/>
  <c r="X38" i="30" s="1"/>
  <c r="R37" i="30"/>
  <c r="R36" i="30"/>
  <c r="X36" i="30" s="1"/>
  <c r="R35" i="30"/>
  <c r="S35" i="30" s="1"/>
  <c r="R34" i="30"/>
  <c r="S34" i="30" s="1"/>
  <c r="R33" i="30"/>
  <c r="X33" i="30" s="1"/>
  <c r="R32" i="30"/>
  <c r="R31" i="30"/>
  <c r="S31" i="30" s="1"/>
  <c r="R30" i="30"/>
  <c r="S30" i="30" s="1"/>
  <c r="R29" i="30"/>
  <c r="S29" i="30" s="1"/>
  <c r="R28" i="30"/>
  <c r="S28" i="30" s="1"/>
  <c r="R27" i="30"/>
  <c r="S27" i="30" s="1"/>
  <c r="R26" i="30"/>
  <c r="S26" i="30" s="1"/>
  <c r="R25" i="30"/>
  <c r="U25" i="30" s="1"/>
  <c r="X25" i="30" s="1"/>
  <c r="R24" i="30"/>
  <c r="S24" i="30" s="1"/>
  <c r="R23" i="30"/>
  <c r="S23" i="30" s="1"/>
  <c r="R22" i="30"/>
  <c r="U22" i="30" s="1"/>
  <c r="R21" i="30"/>
  <c r="S21" i="30" s="1"/>
  <c r="R20" i="30"/>
  <c r="J59" i="30"/>
  <c r="P59" i="30" s="1"/>
  <c r="J58" i="30"/>
  <c r="J57" i="30"/>
  <c r="J56" i="30"/>
  <c r="M56" i="30" s="1"/>
  <c r="J55" i="30"/>
  <c r="J54" i="30"/>
  <c r="K54" i="30" s="1"/>
  <c r="N54" i="30" s="1"/>
  <c r="J53" i="30"/>
  <c r="M53" i="30" s="1"/>
  <c r="J52" i="30"/>
  <c r="M52" i="30" s="1"/>
  <c r="J51" i="30"/>
  <c r="J50" i="30"/>
  <c r="M50" i="30" s="1"/>
  <c r="J49" i="30"/>
  <c r="K49" i="30" s="1"/>
  <c r="N49" i="30" s="1"/>
  <c r="J48" i="30"/>
  <c r="J47" i="30"/>
  <c r="M47" i="30" s="1"/>
  <c r="J46" i="30"/>
  <c r="K46" i="30" s="1"/>
  <c r="N46" i="30" s="1"/>
  <c r="J45" i="30"/>
  <c r="K45" i="30" s="1"/>
  <c r="N45" i="30" s="1"/>
  <c r="J44" i="30"/>
  <c r="P44" i="30" s="1"/>
  <c r="J43" i="30"/>
  <c r="J42" i="30"/>
  <c r="M42" i="30" s="1"/>
  <c r="J41" i="30"/>
  <c r="M41" i="30" s="1"/>
  <c r="J40" i="30"/>
  <c r="J39" i="30"/>
  <c r="K39" i="30" s="1"/>
  <c r="N39" i="30" s="1"/>
  <c r="J38" i="30"/>
  <c r="J37" i="30"/>
  <c r="J36" i="30"/>
  <c r="K36" i="30" s="1"/>
  <c r="N36" i="30" s="1"/>
  <c r="J35" i="30"/>
  <c r="M35" i="30" s="1"/>
  <c r="J34" i="30"/>
  <c r="K34" i="30" s="1"/>
  <c r="N34" i="30" s="1"/>
  <c r="J33" i="30"/>
  <c r="P33" i="30" s="1"/>
  <c r="J32" i="30"/>
  <c r="M32" i="30" s="1"/>
  <c r="J31" i="30"/>
  <c r="M31" i="30" s="1"/>
  <c r="J30" i="30"/>
  <c r="K30" i="30" s="1"/>
  <c r="N30" i="30" s="1"/>
  <c r="J29" i="30"/>
  <c r="J28" i="30"/>
  <c r="J27" i="30"/>
  <c r="J26" i="30"/>
  <c r="J25" i="30"/>
  <c r="J24" i="30"/>
  <c r="J23" i="30"/>
  <c r="J22" i="30"/>
  <c r="J21" i="30"/>
  <c r="K21" i="30" s="1"/>
  <c r="N21" i="30" s="1"/>
  <c r="J20" i="30"/>
  <c r="M20" i="30" s="1"/>
  <c r="B59" i="30"/>
  <c r="F59" i="30" s="1"/>
  <c r="B58" i="30"/>
  <c r="C58" i="30" s="1"/>
  <c r="B57" i="30"/>
  <c r="F57" i="30" s="1"/>
  <c r="B56" i="30"/>
  <c r="F56" i="30" s="1"/>
  <c r="B55" i="30"/>
  <c r="B54" i="30"/>
  <c r="C54" i="30" s="1"/>
  <c r="B53" i="30"/>
  <c r="H53" i="30" s="1"/>
  <c r="B52" i="30"/>
  <c r="C52" i="30" s="1"/>
  <c r="B51" i="30"/>
  <c r="B50" i="30"/>
  <c r="C50" i="30" s="1"/>
  <c r="B49" i="30"/>
  <c r="E49" i="30" s="1"/>
  <c r="B48" i="30"/>
  <c r="H48" i="30" s="1"/>
  <c r="B47" i="30"/>
  <c r="E47" i="30" s="1"/>
  <c r="B46" i="30"/>
  <c r="H46" i="30" s="1"/>
  <c r="B45" i="30"/>
  <c r="C45" i="30" s="1"/>
  <c r="B44" i="30"/>
  <c r="F44" i="30" s="1"/>
  <c r="B43" i="30"/>
  <c r="H43" i="30" s="1"/>
  <c r="B42" i="30"/>
  <c r="F42" i="30" s="1"/>
  <c r="B41" i="30"/>
  <c r="B40" i="30"/>
  <c r="H40" i="30" s="1"/>
  <c r="B39" i="30"/>
  <c r="B38" i="30"/>
  <c r="B37" i="30"/>
  <c r="F37" i="30" s="1"/>
  <c r="B36" i="30"/>
  <c r="B35" i="30"/>
  <c r="B34" i="30"/>
  <c r="H34" i="30" s="1"/>
  <c r="B33" i="30"/>
  <c r="F33" i="30" s="1"/>
  <c r="B32" i="30"/>
  <c r="H32" i="30" s="1"/>
  <c r="B31" i="30"/>
  <c r="B30" i="30"/>
  <c r="F30" i="30" s="1"/>
  <c r="B29" i="30"/>
  <c r="H29" i="30" s="1"/>
  <c r="B28" i="30"/>
  <c r="H28" i="30" s="1"/>
  <c r="B27" i="30"/>
  <c r="H27" i="30" s="1"/>
  <c r="B26" i="30"/>
  <c r="H26" i="30" s="1"/>
  <c r="B25" i="30"/>
  <c r="H25" i="30" s="1"/>
  <c r="B24" i="30"/>
  <c r="H24" i="30" s="1"/>
  <c r="B23" i="30"/>
  <c r="H23" i="30" s="1"/>
  <c r="B22" i="30"/>
  <c r="H22" i="30" s="1"/>
  <c r="B21" i="30"/>
  <c r="H21" i="30" s="1"/>
  <c r="B20" i="30"/>
  <c r="E20" i="30" s="1"/>
  <c r="K20" i="30"/>
  <c r="N20" i="30" s="1"/>
  <c r="I207" i="15"/>
  <c r="I28" i="7"/>
  <c r="H28" i="7"/>
  <c r="H37" i="7" s="1"/>
  <c r="G28" i="7"/>
  <c r="R508" i="17"/>
  <c r="I508" i="17" s="1"/>
  <c r="R509" i="17"/>
  <c r="I509" i="17" s="1"/>
  <c r="R511" i="17"/>
  <c r="I511" i="17" s="1"/>
  <c r="R512" i="17"/>
  <c r="I512" i="17" s="1"/>
  <c r="R513" i="17"/>
  <c r="I513" i="17" s="1"/>
  <c r="R514" i="17"/>
  <c r="I514" i="17" s="1"/>
  <c r="R515" i="17"/>
  <c r="I515" i="17" s="1"/>
  <c r="R516" i="17"/>
  <c r="I516" i="17" s="1"/>
  <c r="R517" i="17"/>
  <c r="I517" i="17" s="1"/>
  <c r="R518" i="17"/>
  <c r="I518" i="17" s="1"/>
  <c r="R507" i="17"/>
  <c r="I507" i="17" s="1"/>
  <c r="I18" i="17"/>
  <c r="W18" i="17" s="1"/>
  <c r="I19" i="17"/>
  <c r="AA19" i="17" s="1"/>
  <c r="I20" i="17"/>
  <c r="X20" i="17" s="1"/>
  <c r="I21" i="17"/>
  <c r="I22" i="17"/>
  <c r="I23" i="17"/>
  <c r="I24" i="17"/>
  <c r="I25" i="17"/>
  <c r="I26" i="17"/>
  <c r="I27" i="17"/>
  <c r="I28" i="17"/>
  <c r="R510" i="17"/>
  <c r="I510" i="17" s="1"/>
  <c r="C52" i="7"/>
  <c r="D52" i="7"/>
  <c r="C70" i="7"/>
  <c r="D70" i="7"/>
  <c r="C82" i="7"/>
  <c r="G84" i="7" s="1"/>
  <c r="D82" i="7"/>
  <c r="G82" i="7"/>
  <c r="H82" i="7"/>
  <c r="G70" i="7"/>
  <c r="G72" i="7" s="1"/>
  <c r="E53" i="15" s="1"/>
  <c r="H70" i="7"/>
  <c r="G13" i="24" s="1"/>
  <c r="G52" i="7"/>
  <c r="H52" i="7"/>
  <c r="I52" i="7"/>
  <c r="E52" i="7"/>
  <c r="I70" i="7"/>
  <c r="E70" i="7"/>
  <c r="I72" i="7" s="1"/>
  <c r="I53" i="15" s="1"/>
  <c r="E43" i="34" s="1"/>
  <c r="E82" i="7"/>
  <c r="I82" i="7"/>
  <c r="F129" i="30"/>
  <c r="E58" i="30"/>
  <c r="M55" i="30"/>
  <c r="I26" i="14"/>
  <c r="G26" i="14"/>
  <c r="N131" i="30"/>
  <c r="E130" i="30"/>
  <c r="M131" i="30"/>
  <c r="C132" i="30"/>
  <c r="P131" i="30"/>
  <c r="F132" i="30"/>
  <c r="P79" i="30"/>
  <c r="F83" i="30"/>
  <c r="E84" i="30"/>
  <c r="P81" i="30"/>
  <c r="K137" i="30"/>
  <c r="N137" i="30" s="1"/>
  <c r="C136" i="30"/>
  <c r="E136" i="30"/>
  <c r="C87" i="30"/>
  <c r="F136" i="30"/>
  <c r="K85" i="30"/>
  <c r="N85" i="30" s="1"/>
  <c r="E87" i="30"/>
  <c r="M138" i="30"/>
  <c r="E138" i="30"/>
  <c r="M85" i="30"/>
  <c r="M30" i="30"/>
  <c r="P138" i="30"/>
  <c r="P85" i="30"/>
  <c r="E89" i="30"/>
  <c r="P86" i="30"/>
  <c r="K142" i="30"/>
  <c r="N142" i="30" s="1"/>
  <c r="E140" i="30"/>
  <c r="F91" i="30"/>
  <c r="M142" i="30"/>
  <c r="P142" i="30"/>
  <c r="P89" i="30"/>
  <c r="F93" i="30"/>
  <c r="C144" i="30"/>
  <c r="K92" i="30"/>
  <c r="N92" i="30" s="1"/>
  <c r="K146" i="30"/>
  <c r="N146" i="30" s="1"/>
  <c r="E144" i="30"/>
  <c r="F144" i="30"/>
  <c r="F95" i="30"/>
  <c r="P92" i="30"/>
  <c r="M93" i="30"/>
  <c r="K95" i="30"/>
  <c r="N95" i="30" s="1"/>
  <c r="C148" i="30"/>
  <c r="C99" i="30"/>
  <c r="K150" i="30"/>
  <c r="N150" i="30" s="1"/>
  <c r="E148" i="30"/>
  <c r="F148" i="30"/>
  <c r="P95" i="30"/>
  <c r="K97" i="30"/>
  <c r="N97" i="30" s="1"/>
  <c r="F99" i="30"/>
  <c r="M150" i="30"/>
  <c r="K151" i="30"/>
  <c r="N151" i="30" s="1"/>
  <c r="M97" i="30"/>
  <c r="C101" i="30"/>
  <c r="F150" i="30"/>
  <c r="P97" i="30"/>
  <c r="K99" i="30"/>
  <c r="N99" i="30" s="1"/>
  <c r="E101" i="30"/>
  <c r="P42" i="30"/>
  <c r="C152" i="30"/>
  <c r="P151" i="30"/>
  <c r="C103" i="30"/>
  <c r="E35" i="30"/>
  <c r="K154" i="30"/>
  <c r="N154" i="30" s="1"/>
  <c r="F103" i="30"/>
  <c r="K155" i="30"/>
  <c r="N155" i="30" s="1"/>
  <c r="K102" i="30"/>
  <c r="N102" i="30" s="1"/>
  <c r="M101" i="30"/>
  <c r="M155" i="30"/>
  <c r="P101" i="30"/>
  <c r="C106" i="30"/>
  <c r="C156" i="30"/>
  <c r="P155" i="30"/>
  <c r="M103" i="30"/>
  <c r="E106" i="30"/>
  <c r="C107" i="30"/>
  <c r="E156" i="30"/>
  <c r="F156" i="30"/>
  <c r="P103" i="30"/>
  <c r="K105" i="30"/>
  <c r="N105" i="30" s="1"/>
  <c r="M49" i="30"/>
  <c r="P157" i="30"/>
  <c r="M105" i="30"/>
  <c r="P49" i="30"/>
  <c r="P105" i="30"/>
  <c r="K108" i="30"/>
  <c r="N108" i="30" s="1"/>
  <c r="M107" i="30"/>
  <c r="E110" i="30"/>
  <c r="F111" i="30"/>
  <c r="M109" i="30"/>
  <c r="F113" i="30"/>
  <c r="K111" i="30"/>
  <c r="N111" i="30" s="1"/>
  <c r="M110" i="30"/>
  <c r="M111" i="30"/>
  <c r="P111" i="30"/>
  <c r="F47" i="30"/>
  <c r="E73" i="37"/>
  <c r="E74" i="37"/>
  <c r="G34" i="5"/>
  <c r="E79" i="37"/>
  <c r="E80" i="37"/>
  <c r="E81" i="37"/>
  <c r="S36" i="5"/>
  <c r="E39" i="30"/>
  <c r="C39" i="30"/>
  <c r="U55" i="30"/>
  <c r="E51" i="30"/>
  <c r="K47" i="30"/>
  <c r="N47" i="30" s="1"/>
  <c r="H111" i="30"/>
  <c r="E129" i="30"/>
  <c r="E145" i="30"/>
  <c r="F153" i="30"/>
  <c r="E153" i="30"/>
  <c r="E94" i="15"/>
  <c r="E31" i="24" s="1"/>
  <c r="S22" i="30"/>
  <c r="S47" i="30"/>
  <c r="S50" i="30"/>
  <c r="S39" i="30"/>
  <c r="X48" i="30"/>
  <c r="C79" i="30"/>
  <c r="E100" i="30"/>
  <c r="E104" i="30"/>
  <c r="C158" i="30"/>
  <c r="U148" i="30"/>
  <c r="U165" i="30"/>
  <c r="E43" i="30"/>
  <c r="E82" i="24"/>
  <c r="U88" i="30"/>
  <c r="U152" i="30"/>
  <c r="S158" i="30"/>
  <c r="U163" i="30"/>
  <c r="X108" i="30"/>
  <c r="U108" i="30"/>
  <c r="X112" i="30"/>
  <c r="U112" i="30"/>
  <c r="E160" i="30"/>
  <c r="H165" i="30"/>
  <c r="F165" i="30"/>
  <c r="P163" i="30"/>
  <c r="P166" i="30"/>
  <c r="X143" i="30"/>
  <c r="X153" i="30"/>
  <c r="S145" i="30"/>
  <c r="X95" i="30"/>
  <c r="X93" i="30"/>
  <c r="M163" i="30"/>
  <c r="S155" i="30"/>
  <c r="S78" i="30"/>
  <c r="U95" i="30"/>
  <c r="U103" i="30"/>
  <c r="G80" i="37"/>
  <c r="G81" i="37"/>
  <c r="G79" i="37"/>
  <c r="I81" i="37"/>
  <c r="I79" i="37"/>
  <c r="I80" i="37"/>
  <c r="K79" i="37"/>
  <c r="K80" i="37"/>
  <c r="K81" i="37"/>
  <c r="G74" i="37"/>
  <c r="G73" i="37"/>
  <c r="G75" i="37"/>
  <c r="G76" i="37"/>
  <c r="T36" i="5"/>
  <c r="G109" i="34" s="1"/>
  <c r="G66" i="37" s="1"/>
  <c r="H34" i="5"/>
  <c r="J34" i="5"/>
  <c r="M79" i="37"/>
  <c r="U36" i="5"/>
  <c r="I76" i="37"/>
  <c r="I73" i="37"/>
  <c r="O81" i="37"/>
  <c r="V36" i="5"/>
  <c r="K76" i="37"/>
  <c r="K75" i="37"/>
  <c r="K73" i="37"/>
  <c r="K74" i="37"/>
  <c r="L34" i="5"/>
  <c r="K34" i="5"/>
  <c r="M73" i="37"/>
  <c r="M74" i="37"/>
  <c r="M75" i="37"/>
  <c r="M76" i="37"/>
  <c r="O74" i="37"/>
  <c r="O73" i="37"/>
  <c r="O75" i="37"/>
  <c r="O76" i="37"/>
  <c r="F97" i="30"/>
  <c r="X150" i="30"/>
  <c r="S150" i="30"/>
  <c r="U159" i="30"/>
  <c r="X159" i="30"/>
  <c r="O82" i="37"/>
  <c r="O80" i="37"/>
  <c r="C53" i="7"/>
  <c r="H55" i="30"/>
  <c r="F94" i="30"/>
  <c r="H94" i="30"/>
  <c r="E94" i="30"/>
  <c r="X83" i="30"/>
  <c r="H90" i="30"/>
  <c r="C90" i="30"/>
  <c r="F90" i="30"/>
  <c r="C157" i="30"/>
  <c r="E157" i="30"/>
  <c r="F157" i="30"/>
  <c r="C51" i="30"/>
  <c r="K37" i="30"/>
  <c r="N37" i="30" s="1"/>
  <c r="P51" i="30"/>
  <c r="G82" i="24"/>
  <c r="G94" i="15"/>
  <c r="G31" i="24" s="1"/>
  <c r="F79" i="30"/>
  <c r="H79" i="30"/>
  <c r="H99" i="30"/>
  <c r="E99" i="30"/>
  <c r="P84" i="30"/>
  <c r="S96" i="30"/>
  <c r="E137" i="30"/>
  <c r="H149" i="30"/>
  <c r="F149" i="30"/>
  <c r="C149" i="30"/>
  <c r="C160" i="30"/>
  <c r="F160" i="30"/>
  <c r="E97" i="30"/>
  <c r="U150" i="30"/>
  <c r="U140" i="30"/>
  <c r="G64" i="15"/>
  <c r="E109" i="34"/>
  <c r="E66" i="37" s="1"/>
  <c r="F152" i="30"/>
  <c r="C93" i="30"/>
  <c r="E90" i="30"/>
  <c r="H35" i="30"/>
  <c r="K165" i="30"/>
  <c r="N165" i="30" s="1"/>
  <c r="X161" i="30"/>
  <c r="H152" i="30"/>
  <c r="H157" i="30"/>
  <c r="H146" i="30"/>
  <c r="C84" i="7"/>
  <c r="E63" i="15" s="1"/>
  <c r="E14" i="24" s="1"/>
  <c r="X92" i="30"/>
  <c r="S92" i="30"/>
  <c r="E164" i="30"/>
  <c r="H164" i="30"/>
  <c r="H72" i="7"/>
  <c r="G53" i="15" s="1"/>
  <c r="H57" i="30"/>
  <c r="K42" i="30"/>
  <c r="N42" i="30" s="1"/>
  <c r="X110" i="30"/>
  <c r="S110" i="30"/>
  <c r="C130" i="30"/>
  <c r="C140" i="30"/>
  <c r="F140" i="30"/>
  <c r="E150" i="30"/>
  <c r="E33" i="30"/>
  <c r="U50" i="30"/>
  <c r="X50" i="30"/>
  <c r="H84" i="30"/>
  <c r="H88" i="30"/>
  <c r="H98" i="30"/>
  <c r="E98" i="30"/>
  <c r="F98" i="30"/>
  <c r="S87" i="30"/>
  <c r="X102" i="30"/>
  <c r="C162" i="30"/>
  <c r="F162" i="30"/>
  <c r="C165" i="30"/>
  <c r="E165" i="30"/>
  <c r="K129" i="30"/>
  <c r="N129" i="30"/>
  <c r="P141" i="30"/>
  <c r="P145" i="30"/>
  <c r="K153" i="30"/>
  <c r="N153" i="30" s="1"/>
  <c r="K157" i="30"/>
  <c r="N157" i="30" s="1"/>
  <c r="S130" i="30"/>
  <c r="C94" i="30"/>
  <c r="C83" i="30"/>
  <c r="H38" i="30"/>
  <c r="E55" i="30"/>
  <c r="X101" i="30"/>
  <c r="H133" i="30"/>
  <c r="X36" i="5"/>
  <c r="O79" i="37"/>
  <c r="H86" i="30"/>
  <c r="S140" i="30"/>
  <c r="C86" i="30"/>
  <c r="M39" i="30"/>
  <c r="C97" i="30"/>
  <c r="E93" i="30"/>
  <c r="K136" i="30"/>
  <c r="N136" i="30" s="1"/>
  <c r="E83" i="30"/>
  <c r="E53" i="30"/>
  <c r="X163" i="30"/>
  <c r="C164" i="30"/>
  <c r="U92" i="30"/>
  <c r="S159" i="30"/>
  <c r="H47" i="30"/>
  <c r="C47" i="30"/>
  <c r="E81" i="30"/>
  <c r="H87" i="30"/>
  <c r="F87" i="30"/>
  <c r="H91" i="30"/>
  <c r="C91" i="30"/>
  <c r="E91" i="30"/>
  <c r="C109" i="30"/>
  <c r="F109" i="30"/>
  <c r="K77" i="30"/>
  <c r="N77" i="30" s="1"/>
  <c r="M77" i="30"/>
  <c r="P77" i="30"/>
  <c r="K81" i="30"/>
  <c r="N81" i="30" s="1"/>
  <c r="M81" i="30"/>
  <c r="K93" i="30"/>
  <c r="N93" i="30" s="1"/>
  <c r="P93" i="30"/>
  <c r="K109" i="30"/>
  <c r="N109" i="30" s="1"/>
  <c r="P109" i="30"/>
  <c r="X105" i="30"/>
  <c r="U105" i="30"/>
  <c r="U111" i="30"/>
  <c r="H159" i="30"/>
  <c r="M130" i="30"/>
  <c r="S154" i="30"/>
  <c r="E93" i="37"/>
  <c r="O89" i="37"/>
  <c r="K92" i="37"/>
  <c r="G89" i="37"/>
  <c r="O88" i="37"/>
  <c r="M93" i="37"/>
  <c r="M40" i="30" l="1"/>
  <c r="P40" i="30"/>
  <c r="U32" i="30"/>
  <c r="S32" i="30"/>
  <c r="P160" i="30"/>
  <c r="M160" i="30"/>
  <c r="S156" i="30"/>
  <c r="X156" i="30"/>
  <c r="I64" i="15"/>
  <c r="C97" i="29" s="1"/>
  <c r="I84" i="7"/>
  <c r="D86" i="7"/>
  <c r="D88" i="7" s="1"/>
  <c r="F84" i="30"/>
  <c r="C84" i="30"/>
  <c r="F88" i="30"/>
  <c r="E88" i="30"/>
  <c r="C88" i="30"/>
  <c r="C96" i="30"/>
  <c r="F96" i="30"/>
  <c r="C108" i="30"/>
  <c r="F108" i="30"/>
  <c r="E112" i="30"/>
  <c r="H112" i="30"/>
  <c r="M75" i="30"/>
  <c r="K75" i="30"/>
  <c r="N75" i="30" s="1"/>
  <c r="P75" i="30"/>
  <c r="P83" i="30"/>
  <c r="K83" i="30"/>
  <c r="N83" i="30" s="1"/>
  <c r="M83" i="30"/>
  <c r="P87" i="30"/>
  <c r="K87" i="30"/>
  <c r="N87" i="30" s="1"/>
  <c r="M87" i="30"/>
  <c r="K91" i="30"/>
  <c r="N91" i="30" s="1"/>
  <c r="P91" i="30"/>
  <c r="M99" i="30"/>
  <c r="P99" i="30"/>
  <c r="K107" i="30"/>
  <c r="N107" i="30" s="1"/>
  <c r="P107" i="30"/>
  <c r="X80" i="30"/>
  <c r="S80" i="30"/>
  <c r="U80" i="30"/>
  <c r="E36" i="30"/>
  <c r="H36" i="30"/>
  <c r="X44" i="30"/>
  <c r="U44" i="30"/>
  <c r="K160" i="30"/>
  <c r="N160" i="30" s="1"/>
  <c r="U156" i="30"/>
  <c r="U24" i="30"/>
  <c r="X24" i="30" s="1"/>
  <c r="S93" i="30"/>
  <c r="U93" i="30"/>
  <c r="X97" i="30"/>
  <c r="S97" i="30"/>
  <c r="U101" i="30"/>
  <c r="S101" i="30"/>
  <c r="S113" i="30"/>
  <c r="X113" i="30"/>
  <c r="F130" i="30"/>
  <c r="H130" i="30"/>
  <c r="H134" i="30"/>
  <c r="F134" i="30"/>
  <c r="E134" i="30"/>
  <c r="C134" i="30"/>
  <c r="H138" i="30"/>
  <c r="F138" i="30"/>
  <c r="C138" i="30"/>
  <c r="C142" i="30"/>
  <c r="E142" i="30"/>
  <c r="F142" i="30"/>
  <c r="C146" i="30"/>
  <c r="E146" i="30"/>
  <c r="F146" i="30"/>
  <c r="C150" i="30"/>
  <c r="H150" i="30"/>
  <c r="H154" i="30"/>
  <c r="C154" i="30"/>
  <c r="E154" i="30"/>
  <c r="F158" i="30"/>
  <c r="H158" i="30"/>
  <c r="E162" i="30"/>
  <c r="H162" i="30"/>
  <c r="E166" i="30"/>
  <c r="H166" i="30"/>
  <c r="M129" i="30"/>
  <c r="P129" i="30"/>
  <c r="M137" i="30"/>
  <c r="P137" i="30"/>
  <c r="K140" i="30"/>
  <c r="N140" i="30" s="1"/>
  <c r="M140" i="30"/>
  <c r="P140" i="30"/>
  <c r="M144" i="30"/>
  <c r="K144" i="30"/>
  <c r="N144" i="30" s="1"/>
  <c r="P144" i="30"/>
  <c r="P148" i="30"/>
  <c r="K148" i="30"/>
  <c r="N148" i="30" s="1"/>
  <c r="K152" i="30"/>
  <c r="N152" i="30" s="1"/>
  <c r="P152" i="30"/>
  <c r="M152" i="30"/>
  <c r="X151" i="30"/>
  <c r="H142" i="30"/>
  <c r="E30" i="15"/>
  <c r="E9" i="24" s="1"/>
  <c r="E158" i="30"/>
  <c r="F154" i="30"/>
  <c r="M148" i="30"/>
  <c r="M91" i="30"/>
  <c r="U78" i="30"/>
  <c r="X78" i="30"/>
  <c r="S90" i="30"/>
  <c r="U90" i="30"/>
  <c r="X90" i="30"/>
  <c r="K167" i="30"/>
  <c r="N167" i="30" s="1"/>
  <c r="M167" i="30"/>
  <c r="I93" i="37"/>
  <c r="I91" i="37"/>
  <c r="I34" i="5"/>
  <c r="I109" i="34" s="1"/>
  <c r="I66" i="37" s="1"/>
  <c r="M87" i="37"/>
  <c r="M88" i="37"/>
  <c r="E75" i="37"/>
  <c r="E76" i="37"/>
  <c r="I75" i="37"/>
  <c r="I74" i="37"/>
  <c r="M82" i="37"/>
  <c r="M80" i="37"/>
  <c r="W36" i="5"/>
  <c r="M81" i="37"/>
  <c r="C159" i="30"/>
  <c r="S91" i="30"/>
  <c r="O109" i="34"/>
  <c r="O66" i="37" s="1"/>
  <c r="E147" i="30"/>
  <c r="M153" i="30"/>
  <c r="C33" i="30"/>
  <c r="E15" i="24"/>
  <c r="K109" i="34"/>
  <c r="K66" i="37" s="1"/>
  <c r="U145" i="30"/>
  <c r="S165" i="30"/>
  <c r="C167" i="30"/>
  <c r="C89" i="30"/>
  <c r="E109" i="30"/>
  <c r="F77" i="30"/>
  <c r="H53" i="7"/>
  <c r="D38" i="7"/>
  <c r="H33" i="14"/>
  <c r="H42" i="14" s="1"/>
  <c r="C93" i="29"/>
  <c r="H93" i="29"/>
  <c r="X132" i="30"/>
  <c r="P159" i="30"/>
  <c r="U136" i="30"/>
  <c r="P71" i="29"/>
  <c r="F53" i="30"/>
  <c r="X130" i="30"/>
  <c r="S79" i="30"/>
  <c r="X98" i="30"/>
  <c r="S135" i="30"/>
  <c r="C57" i="30"/>
  <c r="S98" i="30"/>
  <c r="X148" i="30"/>
  <c r="P149" i="30"/>
  <c r="U102" i="30"/>
  <c r="E57" i="30"/>
  <c r="U161" i="30"/>
  <c r="M108" i="30"/>
  <c r="H89" i="30"/>
  <c r="F101" i="30"/>
  <c r="G53" i="7"/>
  <c r="K161" i="30"/>
  <c r="N161" i="30" s="1"/>
  <c r="M161" i="30"/>
  <c r="E46" i="30"/>
  <c r="H86" i="7"/>
  <c r="S44" i="30"/>
  <c r="U52" i="30"/>
  <c r="E42" i="30"/>
  <c r="M109" i="34"/>
  <c r="M66" i="37" s="1"/>
  <c r="P52" i="30"/>
  <c r="H56" i="30"/>
  <c r="E56" i="30"/>
  <c r="U30" i="30"/>
  <c r="P30" i="30"/>
  <c r="P82" i="30"/>
  <c r="M82" i="30"/>
  <c r="U42" i="30"/>
  <c r="F58" i="30"/>
  <c r="E64" i="15"/>
  <c r="C72" i="7"/>
  <c r="E52" i="15" s="1"/>
  <c r="E42" i="34" s="1"/>
  <c r="E13" i="24"/>
  <c r="X87" i="30"/>
  <c r="H106" i="30"/>
  <c r="F106" i="30"/>
  <c r="H108" i="30"/>
  <c r="E108" i="30"/>
  <c r="H110" i="30"/>
  <c r="C110" i="30"/>
  <c r="F110" i="30"/>
  <c r="C112" i="30"/>
  <c r="F112" i="30"/>
  <c r="M74" i="30"/>
  <c r="P74" i="30"/>
  <c r="S103" i="30"/>
  <c r="X103" i="30"/>
  <c r="H129" i="30"/>
  <c r="C129" i="30"/>
  <c r="C133" i="30"/>
  <c r="E133" i="30"/>
  <c r="E139" i="30"/>
  <c r="F139" i="30"/>
  <c r="C153" i="30"/>
  <c r="H153" i="30"/>
  <c r="F167" i="30"/>
  <c r="H167" i="30"/>
  <c r="K134" i="30"/>
  <c r="N134" i="30" s="1"/>
  <c r="M134" i="30"/>
  <c r="P134" i="30"/>
  <c r="D53" i="7"/>
  <c r="P38" i="30"/>
  <c r="M38" i="30"/>
  <c r="M46" i="30"/>
  <c r="P46" i="30"/>
  <c r="U36" i="30"/>
  <c r="S36" i="30"/>
  <c r="X46" i="30"/>
  <c r="S46" i="30"/>
  <c r="U46" i="30"/>
  <c r="E75" i="30"/>
  <c r="F75" i="30"/>
  <c r="H107" i="30"/>
  <c r="F107" i="30"/>
  <c r="C111" i="30"/>
  <c r="E111" i="30"/>
  <c r="H113" i="30"/>
  <c r="E113" i="30"/>
  <c r="S74" i="30"/>
  <c r="U74" i="30"/>
  <c r="K80" i="30"/>
  <c r="N80" i="30" s="1"/>
  <c r="M80" i="30"/>
  <c r="K84" i="30"/>
  <c r="N84" i="30" s="1"/>
  <c r="M84" i="30"/>
  <c r="K86" i="30"/>
  <c r="N86" i="30" s="1"/>
  <c r="M86" i="30"/>
  <c r="K90" i="30"/>
  <c r="N90" i="30" s="1"/>
  <c r="M90" i="30"/>
  <c r="P90" i="30"/>
  <c r="K94" i="30"/>
  <c r="N94" i="30" s="1"/>
  <c r="M94" i="30"/>
  <c r="P98" i="30"/>
  <c r="M98" i="30"/>
  <c r="M104" i="30"/>
  <c r="P104" i="30"/>
  <c r="C166" i="30"/>
  <c r="F166" i="30"/>
  <c r="I13" i="24"/>
  <c r="C94" i="29" s="1"/>
  <c r="I53" i="7"/>
  <c r="D72" i="7"/>
  <c r="G52" i="15" s="1"/>
  <c r="E84" i="29"/>
  <c r="G84" i="29" s="1"/>
  <c r="I84" i="29" s="1"/>
  <c r="K84" i="29" s="1"/>
  <c r="M84" i="29" s="1"/>
  <c r="O84" i="29" s="1"/>
  <c r="Q84" i="29" s="1"/>
  <c r="S84" i="29" s="1"/>
  <c r="E92" i="29"/>
  <c r="G92" i="29" s="1"/>
  <c r="I92" i="29" s="1"/>
  <c r="K92" i="29" s="1"/>
  <c r="M92" i="29" s="1"/>
  <c r="O92" i="29" s="1"/>
  <c r="Q92" i="29" s="1"/>
  <c r="S92" i="29" s="1"/>
  <c r="J71" i="29"/>
  <c r="L71" i="29"/>
  <c r="R71" i="29"/>
  <c r="D71" i="29"/>
  <c r="E71" i="29" s="1"/>
  <c r="G71" i="29" s="1"/>
  <c r="I71" i="29" s="1"/>
  <c r="J93" i="29"/>
  <c r="C78" i="30"/>
  <c r="F78" i="30"/>
  <c r="H78" i="30"/>
  <c r="E78" i="30"/>
  <c r="E80" i="30"/>
  <c r="H80" i="30"/>
  <c r="F80" i="30"/>
  <c r="H82" i="30"/>
  <c r="F82" i="30"/>
  <c r="H92" i="30"/>
  <c r="E92" i="30"/>
  <c r="C100" i="30"/>
  <c r="F100" i="30"/>
  <c r="H100" i="30"/>
  <c r="P100" i="30"/>
  <c r="K100" i="30"/>
  <c r="N100" i="30" s="1"/>
  <c r="M100" i="30"/>
  <c r="M112" i="30"/>
  <c r="K112" i="30"/>
  <c r="N112" i="30" s="1"/>
  <c r="X94" i="30"/>
  <c r="U94" i="30"/>
  <c r="X109" i="30"/>
  <c r="U109" i="30"/>
  <c r="H131" i="30"/>
  <c r="E131" i="30"/>
  <c r="F131" i="30"/>
  <c r="C131" i="30"/>
  <c r="H135" i="30"/>
  <c r="E135" i="30"/>
  <c r="C137" i="30"/>
  <c r="H137" i="30"/>
  <c r="H139" i="30"/>
  <c r="C139" i="30"/>
  <c r="H141" i="30"/>
  <c r="C141" i="30"/>
  <c r="F141" i="30"/>
  <c r="H151" i="30"/>
  <c r="E151" i="30"/>
  <c r="C155" i="30"/>
  <c r="F155" i="30"/>
  <c r="H155" i="30"/>
  <c r="K132" i="30"/>
  <c r="N132" i="30" s="1"/>
  <c r="M132" i="30"/>
  <c r="M136" i="30"/>
  <c r="P136" i="30"/>
  <c r="K139" i="30"/>
  <c r="N139" i="30" s="1"/>
  <c r="P139" i="30"/>
  <c r="M143" i="30"/>
  <c r="P143" i="30"/>
  <c r="M147" i="30"/>
  <c r="P147" i="30"/>
  <c r="K156" i="30"/>
  <c r="N156" i="30" s="1"/>
  <c r="M156" i="30"/>
  <c r="P164" i="30"/>
  <c r="K164" i="30"/>
  <c r="N164" i="30" s="1"/>
  <c r="M164" i="30"/>
  <c r="U129" i="30"/>
  <c r="X129" i="30"/>
  <c r="S131" i="30"/>
  <c r="X131" i="30"/>
  <c r="U131" i="30"/>
  <c r="U137" i="30"/>
  <c r="S137" i="30"/>
  <c r="X137" i="30"/>
  <c r="U139" i="30"/>
  <c r="X139" i="30"/>
  <c r="U142" i="30"/>
  <c r="X142" i="30"/>
  <c r="X144" i="30"/>
  <c r="U144" i="30"/>
  <c r="S144" i="30"/>
  <c r="S147" i="30"/>
  <c r="X147" i="30"/>
  <c r="X149" i="30"/>
  <c r="U149" i="30"/>
  <c r="S149" i="30"/>
  <c r="U160" i="30"/>
  <c r="X160" i="30"/>
  <c r="S160" i="30"/>
  <c r="U162" i="30"/>
  <c r="X162" i="30"/>
  <c r="U164" i="30"/>
  <c r="S164" i="30"/>
  <c r="X164" i="30"/>
  <c r="P167" i="30"/>
  <c r="M162" i="30"/>
  <c r="K162" i="30"/>
  <c r="N162" i="30" s="1"/>
  <c r="K130" i="30"/>
  <c r="N130" i="30" s="1"/>
  <c r="X111" i="30"/>
  <c r="X91" i="30"/>
  <c r="F133" i="30"/>
  <c r="U113" i="30"/>
  <c r="U147" i="30"/>
  <c r="X166" i="30"/>
  <c r="P156" i="30"/>
  <c r="S151" i="30"/>
  <c r="M149" i="30"/>
  <c r="M145" i="30"/>
  <c r="M141" i="30"/>
  <c r="X79" i="30"/>
  <c r="C135" i="30"/>
  <c r="P132" i="30"/>
  <c r="E143" i="30"/>
  <c r="F147" i="30"/>
  <c r="H143" i="30"/>
  <c r="F137" i="30"/>
  <c r="X158" i="30"/>
  <c r="C147" i="30"/>
  <c r="S83" i="30"/>
  <c r="S166" i="30"/>
  <c r="M128" i="30"/>
  <c r="S139" i="30"/>
  <c r="S94" i="30"/>
  <c r="X96" i="30"/>
  <c r="S129" i="30"/>
  <c r="F151" i="30"/>
  <c r="F92" i="30"/>
  <c r="E141" i="30"/>
  <c r="M139" i="30"/>
  <c r="C82" i="30"/>
  <c r="C80" i="30"/>
  <c r="I15" i="24"/>
  <c r="E84" i="7"/>
  <c r="I63" i="15" s="1"/>
  <c r="I14" i="24" s="1"/>
  <c r="G15" i="24"/>
  <c r="H84" i="7"/>
  <c r="G30" i="15"/>
  <c r="G9" i="24" s="1"/>
  <c r="G37" i="7"/>
  <c r="G86" i="7" s="1"/>
  <c r="E9" i="15"/>
  <c r="C31" i="30"/>
  <c r="F31" i="30"/>
  <c r="C35" i="30"/>
  <c r="F35" i="30"/>
  <c r="F39" i="30"/>
  <c r="H39" i="30"/>
  <c r="E41" i="30"/>
  <c r="C41" i="30"/>
  <c r="F51" i="30"/>
  <c r="H51" i="30"/>
  <c r="C55" i="30"/>
  <c r="F55" i="30"/>
  <c r="M37" i="30"/>
  <c r="P37" i="30"/>
  <c r="K51" i="30"/>
  <c r="N51" i="30" s="1"/>
  <c r="M51" i="30"/>
  <c r="P55" i="30"/>
  <c r="K55" i="30"/>
  <c r="N55" i="30" s="1"/>
  <c r="M57" i="30"/>
  <c r="K57" i="30"/>
  <c r="N57" i="30" s="1"/>
  <c r="P57" i="30"/>
  <c r="S53" i="30"/>
  <c r="U53" i="30"/>
  <c r="U57" i="30"/>
  <c r="X57" i="30"/>
  <c r="S57" i="30"/>
  <c r="S162" i="30"/>
  <c r="U20" i="30"/>
  <c r="X20" i="30" s="1"/>
  <c r="S20" i="30"/>
  <c r="H81" i="30"/>
  <c r="F81" i="30"/>
  <c r="K79" i="30"/>
  <c r="N79" i="30" s="1"/>
  <c r="M79" i="30"/>
  <c r="H128" i="30"/>
  <c r="E128" i="30"/>
  <c r="F128" i="30"/>
  <c r="H132" i="30"/>
  <c r="E132" i="30"/>
  <c r="P133" i="30"/>
  <c r="K133" i="30"/>
  <c r="N133" i="30" s="1"/>
  <c r="U146" i="30"/>
  <c r="S146" i="30"/>
  <c r="I33" i="14"/>
  <c r="I177" i="15" s="1"/>
  <c r="D93" i="29"/>
  <c r="E93" i="29" s="1"/>
  <c r="G93" i="29" s="1"/>
  <c r="I93" i="29" s="1"/>
  <c r="K93" i="29" s="1"/>
  <c r="M93" i="29" s="1"/>
  <c r="O93" i="29" s="1"/>
  <c r="Q93" i="29" s="1"/>
  <c r="S93" i="29" s="1"/>
  <c r="U526" i="17"/>
  <c r="V527" i="17"/>
  <c r="W526" i="17"/>
  <c r="G177" i="15"/>
  <c r="I42" i="14"/>
  <c r="E38" i="30"/>
  <c r="F38" i="30"/>
  <c r="C48" i="30"/>
  <c r="F48" i="30"/>
  <c r="P48" i="30"/>
  <c r="K48" i="30"/>
  <c r="N48" i="30" s="1"/>
  <c r="M48" i="30"/>
  <c r="P54" i="30"/>
  <c r="M54" i="30"/>
  <c r="K58" i="30"/>
  <c r="N58" i="30" s="1"/>
  <c r="M58" i="30"/>
  <c r="S37" i="30"/>
  <c r="X37" i="30"/>
  <c r="S43" i="30"/>
  <c r="U43" i="30"/>
  <c r="U54" i="30"/>
  <c r="X54" i="30"/>
  <c r="H76" i="30"/>
  <c r="E76" i="30"/>
  <c r="H85" i="30"/>
  <c r="E85" i="30"/>
  <c r="H95" i="30"/>
  <c r="C95" i="30"/>
  <c r="E95" i="30"/>
  <c r="E102" i="30"/>
  <c r="C102" i="30"/>
  <c r="F102" i="30"/>
  <c r="H104" i="30"/>
  <c r="C104" i="30"/>
  <c r="P76" i="30"/>
  <c r="M76" i="30"/>
  <c r="K78" i="30"/>
  <c r="N78" i="30" s="1"/>
  <c r="P78" i="30"/>
  <c r="M96" i="30"/>
  <c r="P96" i="30"/>
  <c r="K106" i="30"/>
  <c r="N106" i="30" s="1"/>
  <c r="P106" i="30"/>
  <c r="K113" i="30"/>
  <c r="N113" i="30" s="1"/>
  <c r="M113" i="30"/>
  <c r="S76" i="30"/>
  <c r="X76" i="30"/>
  <c r="S84" i="30"/>
  <c r="X84" i="30"/>
  <c r="C145" i="30"/>
  <c r="H145" i="30"/>
  <c r="U134" i="30"/>
  <c r="X134" i="30"/>
  <c r="F76" i="30"/>
  <c r="E72" i="7"/>
  <c r="I52" i="15" s="1"/>
  <c r="C42" i="30"/>
  <c r="X86" i="30"/>
  <c r="H42" i="30"/>
  <c r="F135" i="30"/>
  <c r="U45" i="30"/>
  <c r="C143" i="30"/>
  <c r="X100" i="30"/>
  <c r="C38" i="30"/>
  <c r="P88" i="30"/>
  <c r="K88" i="30"/>
  <c r="N88" i="30" s="1"/>
  <c r="E48" i="30"/>
  <c r="U97" i="30"/>
  <c r="C32" i="30"/>
  <c r="S88" i="30"/>
  <c r="I94" i="15"/>
  <c r="I31" i="24" s="1"/>
  <c r="D84" i="7"/>
  <c r="G63" i="15" s="1"/>
  <c r="G14" i="24" s="1"/>
  <c r="U27" i="30"/>
  <c r="F104" i="30"/>
  <c r="U39" i="30"/>
  <c r="U56" i="30"/>
  <c r="U47" i="30"/>
  <c r="U86" i="30"/>
  <c r="P113" i="30"/>
  <c r="K110" i="30"/>
  <c r="N110" i="30" s="1"/>
  <c r="M106" i="30"/>
  <c r="M102" i="30"/>
  <c r="K98" i="30"/>
  <c r="N98" i="30" s="1"/>
  <c r="F145" i="30"/>
  <c r="F85" i="30"/>
  <c r="C85" i="30"/>
  <c r="P80" i="30"/>
  <c r="U58" i="30"/>
  <c r="G33" i="14"/>
  <c r="X43" i="30"/>
  <c r="S58" i="30"/>
  <c r="E50" i="30"/>
  <c r="E53" i="7"/>
  <c r="I9" i="15"/>
  <c r="I37" i="7"/>
  <c r="I86" i="7" s="1"/>
  <c r="K33" i="30"/>
  <c r="N33" i="30" s="1"/>
  <c r="M33" i="30"/>
  <c r="K43" i="30"/>
  <c r="N43" i="30" s="1"/>
  <c r="M43" i="30"/>
  <c r="E59" i="29"/>
  <c r="G59" i="29" s="1"/>
  <c r="I59" i="29" s="1"/>
  <c r="K59" i="29" s="1"/>
  <c r="M59" i="29" s="1"/>
  <c r="O59" i="29" s="1"/>
  <c r="Q59" i="29" s="1"/>
  <c r="S59" i="29" s="1"/>
  <c r="K76" i="30"/>
  <c r="N76" i="30" s="1"/>
  <c r="U76" i="30"/>
  <c r="S100" i="30"/>
  <c r="H77" i="30"/>
  <c r="E77" i="30"/>
  <c r="E86" i="30"/>
  <c r="F86" i="30"/>
  <c r="H96" i="30"/>
  <c r="E96" i="30"/>
  <c r="H102" i="30"/>
  <c r="H103" i="30"/>
  <c r="E103" i="30"/>
  <c r="H105" i="30"/>
  <c r="C105" i="30"/>
  <c r="E105" i="30"/>
  <c r="M89" i="30"/>
  <c r="K89" i="30"/>
  <c r="N89" i="30" s="1"/>
  <c r="S75" i="30"/>
  <c r="U75" i="30"/>
  <c r="U77" i="30"/>
  <c r="S77" i="30"/>
  <c r="U85" i="30"/>
  <c r="S85" i="30"/>
  <c r="S89" i="30"/>
  <c r="U89" i="30"/>
  <c r="S99" i="30"/>
  <c r="X99" i="30"/>
  <c r="S104" i="30"/>
  <c r="S106" i="30"/>
  <c r="U106" i="30"/>
  <c r="S107" i="30"/>
  <c r="X107" i="30"/>
  <c r="C161" i="30"/>
  <c r="H161" i="30"/>
  <c r="E161" i="30"/>
  <c r="F161" i="30"/>
  <c r="C163" i="30"/>
  <c r="E163" i="30"/>
  <c r="F163" i="30"/>
  <c r="H163" i="30"/>
  <c r="K135" i="30"/>
  <c r="N135" i="30" s="1"/>
  <c r="M135" i="30"/>
  <c r="P135" i="30"/>
  <c r="M146" i="30"/>
  <c r="P146" i="30"/>
  <c r="P154" i="30"/>
  <c r="M154" i="30"/>
  <c r="M165" i="30"/>
  <c r="P165" i="30"/>
  <c r="S138" i="30"/>
  <c r="U138" i="30"/>
  <c r="X138" i="30"/>
  <c r="U157" i="30"/>
  <c r="S157" i="30"/>
  <c r="U167" i="30"/>
  <c r="S167" i="30"/>
  <c r="G9" i="15"/>
  <c r="E89" i="37"/>
  <c r="I87" i="37"/>
  <c r="K87" i="37"/>
  <c r="M89" i="37"/>
  <c r="G91" i="37"/>
  <c r="I92" i="37"/>
  <c r="M91" i="37"/>
  <c r="O92" i="37"/>
  <c r="C86" i="7"/>
  <c r="E92" i="37"/>
  <c r="O93" i="37"/>
  <c r="K91" i="37"/>
  <c r="G93" i="37"/>
  <c r="E87" i="37"/>
  <c r="K89" i="37"/>
  <c r="I88" i="37"/>
  <c r="G87" i="37"/>
  <c r="I65" i="34"/>
  <c r="I26" i="37" s="1"/>
  <c r="P32" i="30"/>
  <c r="H45" i="30"/>
  <c r="X49" i="30"/>
  <c r="K44" i="30"/>
  <c r="N44" i="30" s="1"/>
  <c r="E45" i="30"/>
  <c r="U26" i="30"/>
  <c r="X26" i="30" s="1"/>
  <c r="K40" i="30"/>
  <c r="N40" i="30" s="1"/>
  <c r="H41" i="30"/>
  <c r="H33" i="30"/>
  <c r="F41" i="30"/>
  <c r="K32" i="30"/>
  <c r="N32" i="30" s="1"/>
  <c r="X32" i="30"/>
  <c r="K56" i="30"/>
  <c r="N56" i="30" s="1"/>
  <c r="P43" i="30"/>
  <c r="X30" i="30"/>
  <c r="F40" i="30"/>
  <c r="F36" i="30"/>
  <c r="E30" i="30"/>
  <c r="H49" i="30"/>
  <c r="X41" i="30"/>
  <c r="F52" i="30"/>
  <c r="P58" i="30"/>
  <c r="U40" i="30"/>
  <c r="F45" i="30"/>
  <c r="P56" i="30"/>
  <c r="E52" i="30"/>
  <c r="P39" i="30"/>
  <c r="H30" i="30"/>
  <c r="K59" i="30"/>
  <c r="N59" i="30" s="1"/>
  <c r="S41" i="30"/>
  <c r="P50" i="30"/>
  <c r="C56" i="30"/>
  <c r="U35" i="30"/>
  <c r="H44" i="30"/>
  <c r="S56" i="30"/>
  <c r="P35" i="30"/>
  <c r="C40" i="30"/>
  <c r="C46" i="30"/>
  <c r="K38" i="30"/>
  <c r="N38" i="30" s="1"/>
  <c r="S40" i="30"/>
  <c r="X34" i="30"/>
  <c r="U37" i="30"/>
  <c r="F20" i="30"/>
  <c r="C21" i="30" s="1"/>
  <c r="S55" i="30"/>
  <c r="M44" i="30"/>
  <c r="F46" i="30"/>
  <c r="U34" i="30"/>
  <c r="S52" i="30"/>
  <c r="U49" i="30"/>
  <c r="X42" i="30"/>
  <c r="E54" i="30"/>
  <c r="M59" i="30"/>
  <c r="P53" i="30"/>
  <c r="E40" i="30"/>
  <c r="C36" i="30"/>
  <c r="F34" i="30"/>
  <c r="E34" i="30"/>
  <c r="M34" i="30"/>
  <c r="E31" i="30"/>
  <c r="X35" i="30"/>
  <c r="H31" i="30"/>
  <c r="K53" i="30"/>
  <c r="N53" i="30" s="1"/>
  <c r="U31" i="30"/>
  <c r="U28" i="30"/>
  <c r="X28" i="30" s="1"/>
  <c r="C30" i="30"/>
  <c r="H50" i="30"/>
  <c r="U29" i="30"/>
  <c r="X29" i="30" s="1"/>
  <c r="C44" i="30"/>
  <c r="S25" i="30"/>
  <c r="F50" i="30"/>
  <c r="C53" i="30"/>
  <c r="H20" i="30"/>
  <c r="E44" i="30"/>
  <c r="C49" i="30"/>
  <c r="C43" i="30"/>
  <c r="C37" i="30"/>
  <c r="P47" i="30"/>
  <c r="C34" i="30"/>
  <c r="K35" i="30"/>
  <c r="N35" i="30" s="1"/>
  <c r="X31" i="30"/>
  <c r="U21" i="30"/>
  <c r="X21" i="30" s="1"/>
  <c r="H58" i="30"/>
  <c r="M21" i="30"/>
  <c r="P21" i="30" s="1"/>
  <c r="P20" i="30"/>
  <c r="X27" i="30"/>
  <c r="X22" i="30"/>
  <c r="E21" i="30"/>
  <c r="F21" i="30" s="1"/>
  <c r="C22" i="30" s="1"/>
  <c r="X59" i="30"/>
  <c r="S45" i="30"/>
  <c r="E32" i="30"/>
  <c r="U38" i="30"/>
  <c r="K52" i="30"/>
  <c r="N52" i="30" s="1"/>
  <c r="F43" i="30"/>
  <c r="F54" i="30"/>
  <c r="S33" i="30"/>
  <c r="K31" i="30"/>
  <c r="N31" i="30" s="1"/>
  <c r="H59" i="30"/>
  <c r="E37" i="30"/>
  <c r="K22" i="30"/>
  <c r="M22" i="30" s="1"/>
  <c r="H37" i="30"/>
  <c r="E59" i="30"/>
  <c r="X51" i="30"/>
  <c r="S54" i="30"/>
  <c r="H52" i="30"/>
  <c r="S48" i="30"/>
  <c r="S51" i="30"/>
  <c r="H54" i="30"/>
  <c r="P31" i="30"/>
  <c r="P34" i="30"/>
  <c r="P36" i="30"/>
  <c r="K41" i="30"/>
  <c r="N41" i="30" s="1"/>
  <c r="K50" i="30"/>
  <c r="N50" i="30" s="1"/>
  <c r="U23" i="30"/>
  <c r="X23" i="30" s="1"/>
  <c r="U59" i="30"/>
  <c r="F32" i="30"/>
  <c r="P45" i="30"/>
  <c r="S38" i="30"/>
  <c r="M36" i="30"/>
  <c r="F49" i="30"/>
  <c r="U33" i="30"/>
  <c r="C59" i="30"/>
  <c r="M45" i="30"/>
  <c r="P41" i="30"/>
  <c r="U17" i="17"/>
  <c r="Z19" i="17"/>
  <c r="AB19" i="17"/>
  <c r="AB527" i="17" s="1"/>
  <c r="V18" i="17"/>
  <c r="V526" i="17" s="1"/>
  <c r="Y20" i="17"/>
  <c r="Y529" i="17" s="1"/>
  <c r="AB20" i="17"/>
  <c r="Z20" i="17"/>
  <c r="AA20" i="17"/>
  <c r="W20" i="17"/>
  <c r="W19" i="17"/>
  <c r="W527" i="17" s="1"/>
  <c r="AM517" i="17"/>
  <c r="AM510" i="17"/>
  <c r="N61" i="17"/>
  <c r="V17" i="17"/>
  <c r="T17" i="17"/>
  <c r="H55" i="7"/>
  <c r="H38" i="7"/>
  <c r="G10" i="15" s="1"/>
  <c r="G41" i="15"/>
  <c r="G40" i="15" s="1"/>
  <c r="G10" i="24" s="1"/>
  <c r="D55" i="7"/>
  <c r="H88" i="7"/>
  <c r="C38" i="7"/>
  <c r="H94" i="15"/>
  <c r="G38" i="7"/>
  <c r="G55" i="7"/>
  <c r="G23" i="29"/>
  <c r="K65" i="34" s="1"/>
  <c r="Z527" i="17"/>
  <c r="Z18" i="17"/>
  <c r="Z526" i="17" s="1"/>
  <c r="Y18" i="17"/>
  <c r="Y526" i="17" s="1"/>
  <c r="AA18" i="17"/>
  <c r="AA526" i="17" s="1"/>
  <c r="AB18" i="17"/>
  <c r="AB526" i="17" s="1"/>
  <c r="Y527" i="17"/>
  <c r="X18" i="17"/>
  <c r="X526" i="17" s="1"/>
  <c r="Y17" i="17"/>
  <c r="AB17" i="17"/>
  <c r="Z17" i="17"/>
  <c r="Z529" i="17" s="1"/>
  <c r="W17" i="17"/>
  <c r="X17" i="17"/>
  <c r="S529" i="17"/>
  <c r="S541" i="17" s="1"/>
  <c r="BW513" i="17"/>
  <c r="AY513" i="17"/>
  <c r="AU517" i="17"/>
  <c r="BO513" i="17"/>
  <c r="BS513" i="17"/>
  <c r="AM513" i="17"/>
  <c r="BC517" i="17"/>
  <c r="BW521" i="17"/>
  <c r="BK517" i="17"/>
  <c r="BC513" i="17"/>
  <c r="BG513" i="17"/>
  <c r="AQ513" i="17"/>
  <c r="BW517" i="17"/>
  <c r="BK513" i="17"/>
  <c r="AY521" i="17"/>
  <c r="U529" i="17"/>
  <c r="H44" i="29"/>
  <c r="H43" i="29"/>
  <c r="H42" i="29"/>
  <c r="J44" i="29"/>
  <c r="J43" i="29"/>
  <c r="J42" i="29"/>
  <c r="N44" i="29"/>
  <c r="N43" i="29"/>
  <c r="N42" i="29"/>
  <c r="I110" i="34"/>
  <c r="I167" i="15"/>
  <c r="F44" i="29"/>
  <c r="F43" i="29"/>
  <c r="F42" i="29"/>
  <c r="R44" i="29"/>
  <c r="R43" i="29"/>
  <c r="R42" i="29"/>
  <c r="D44" i="29"/>
  <c r="D43" i="29"/>
  <c r="D42" i="29"/>
  <c r="L44" i="29"/>
  <c r="L43" i="29"/>
  <c r="L42" i="29"/>
  <c r="P44" i="29"/>
  <c r="P43" i="29"/>
  <c r="P42" i="29"/>
  <c r="I55" i="7"/>
  <c r="E86" i="7"/>
  <c r="E38" i="7"/>
  <c r="E55" i="7"/>
  <c r="C43" i="29"/>
  <c r="C42" i="29"/>
  <c r="C44" i="29"/>
  <c r="BB522" i="17"/>
  <c r="BG514" i="17"/>
  <c r="AU510" i="17"/>
  <c r="AQ510" i="17"/>
  <c r="BW510" i="17"/>
  <c r="BO510" i="17"/>
  <c r="T529" i="17"/>
  <c r="K86" i="37"/>
  <c r="AY514" i="17"/>
  <c r="BC514" i="17"/>
  <c r="BS514" i="17"/>
  <c r="AU514" i="17"/>
  <c r="O23" i="17"/>
  <c r="P23" i="17" s="1"/>
  <c r="AX512" i="17"/>
  <c r="AM520" i="17"/>
  <c r="BG517" i="17"/>
  <c r="BG510" i="17"/>
  <c r="M24" i="29"/>
  <c r="O24" i="29" s="1"/>
  <c r="Q24" i="29" s="1"/>
  <c r="S24" i="29" s="1"/>
  <c r="AM519" i="17"/>
  <c r="AL507" i="17"/>
  <c r="AN507" i="17" s="1"/>
  <c r="AP507" i="17" s="1"/>
  <c r="BS510" i="17"/>
  <c r="BC510" i="17"/>
  <c r="BG518" i="17"/>
  <c r="AL512" i="17"/>
  <c r="AQ517" i="17"/>
  <c r="BK510" i="17"/>
  <c r="AP519" i="17"/>
  <c r="AQ511" i="17"/>
  <c r="BG520" i="17"/>
  <c r="T527" i="17"/>
  <c r="AU520" i="17"/>
  <c r="AT515" i="17"/>
  <c r="BJ515" i="17"/>
  <c r="BS509" i="17"/>
  <c r="AM518" i="17"/>
  <c r="BS520" i="17"/>
  <c r="BO520" i="17"/>
  <c r="BS516" i="17"/>
  <c r="N33" i="17"/>
  <c r="V524" i="17"/>
  <c r="Y524" i="17"/>
  <c r="T524" i="17"/>
  <c r="X524" i="17"/>
  <c r="U524" i="17"/>
  <c r="AA524" i="17"/>
  <c r="W524" i="17"/>
  <c r="Z524" i="17"/>
  <c r="AB524" i="17"/>
  <c r="BC520" i="17"/>
  <c r="BW520" i="17"/>
  <c r="BO509" i="17"/>
  <c r="AL515" i="17"/>
  <c r="BR515" i="17"/>
  <c r="AX516" i="17"/>
  <c r="BJ516" i="17"/>
  <c r="AP512" i="17"/>
  <c r="BF512" i="17"/>
  <c r="BG519" i="17"/>
  <c r="BS519" i="17"/>
  <c r="AY516" i="17"/>
  <c r="BW514" i="17"/>
  <c r="BS521" i="17"/>
  <c r="AT512" i="17"/>
  <c r="BJ512" i="17"/>
  <c r="BN515" i="17"/>
  <c r="BC521" i="17"/>
  <c r="BK520" i="17"/>
  <c r="BW518" i="17"/>
  <c r="AL520" i="17"/>
  <c r="AP520" i="17"/>
  <c r="AP515" i="17"/>
  <c r="BB516" i="17"/>
  <c r="BO518" i="17"/>
  <c r="AX519" i="17"/>
  <c r="BO507" i="17"/>
  <c r="BG508" i="17"/>
  <c r="AQ508" i="17"/>
  <c r="N50" i="17"/>
  <c r="BV521" i="17"/>
  <c r="AP521" i="17"/>
  <c r="AT521" i="17"/>
  <c r="BF521" i="17"/>
  <c r="BR521" i="17"/>
  <c r="BB513" i="17"/>
  <c r="BF513" i="17"/>
  <c r="BJ517" i="17"/>
  <c r="BN513" i="17"/>
  <c r="BR517" i="17"/>
  <c r="BO512" i="17"/>
  <c r="AL508" i="17"/>
  <c r="AN508" i="17" s="1"/>
  <c r="AU519" i="17"/>
  <c r="AQ519" i="17"/>
  <c r="BC516" i="17"/>
  <c r="BW519" i="17"/>
  <c r="BW512" i="17"/>
  <c r="AP518" i="17"/>
  <c r="BJ518" i="17"/>
  <c r="BR514" i="17"/>
  <c r="BS517" i="17"/>
  <c r="AY517" i="17"/>
  <c r="AQ520" i="17"/>
  <c r="BO519" i="17"/>
  <c r="N51" i="17"/>
  <c r="N31" i="17"/>
  <c r="O39" i="17"/>
  <c r="P39" i="17" s="1"/>
  <c r="N47" i="17"/>
  <c r="N40" i="17"/>
  <c r="O28" i="17"/>
  <c r="P28" i="17" s="1"/>
  <c r="N60" i="17"/>
  <c r="O26" i="17"/>
  <c r="P26" i="17" s="1"/>
  <c r="O24" i="17"/>
  <c r="P24" i="17" s="1"/>
  <c r="O22" i="17"/>
  <c r="P22" i="17" s="1"/>
  <c r="O32" i="17"/>
  <c r="P32" i="17" s="1"/>
  <c r="O65" i="17"/>
  <c r="P65" i="17" s="1"/>
  <c r="N53" i="17"/>
  <c r="O64" i="17"/>
  <c r="P64" i="17" s="1"/>
  <c r="O86" i="37"/>
  <c r="H167" i="15"/>
  <c r="G110" i="34"/>
  <c r="M71" i="37"/>
  <c r="BN514" i="17"/>
  <c r="BV514" i="17"/>
  <c r="AT514" i="17"/>
  <c r="AP514" i="17"/>
  <c r="BB511" i="17"/>
  <c r="BR511" i="17"/>
  <c r="BN511" i="17"/>
  <c r="BF511" i="17"/>
  <c r="O30" i="17"/>
  <c r="P30" i="17" s="1"/>
  <c r="N30" i="17"/>
  <c r="BJ520" i="17"/>
  <c r="BR520" i="17"/>
  <c r="N38" i="17"/>
  <c r="O38" i="17"/>
  <c r="P38" i="17" s="1"/>
  <c r="O59" i="17"/>
  <c r="P59" i="17" s="1"/>
  <c r="N59" i="17"/>
  <c r="O41" i="17"/>
  <c r="P41" i="17" s="1"/>
  <c r="N41" i="17"/>
  <c r="BV516" i="17"/>
  <c r="BN522" i="17"/>
  <c r="AT519" i="17"/>
  <c r="AU522" i="17"/>
  <c r="N21" i="17"/>
  <c r="X529" i="17" s="1"/>
  <c r="AL514" i="17"/>
  <c r="AL510" i="17"/>
  <c r="AN510" i="17" s="1"/>
  <c r="AP510" i="17" s="1"/>
  <c r="AP511" i="17"/>
  <c r="AX511" i="17"/>
  <c r="AX522" i="17"/>
  <c r="BV522" i="17"/>
  <c r="BR522" i="17"/>
  <c r="BK522" i="17"/>
  <c r="N34" i="17"/>
  <c r="BR516" i="17"/>
  <c r="AT516" i="17"/>
  <c r="BF516" i="17"/>
  <c r="N46" i="17"/>
  <c r="N27" i="17"/>
  <c r="O27" i="17"/>
  <c r="P27" i="17" s="1"/>
  <c r="BO515" i="17"/>
  <c r="BW515" i="17"/>
  <c r="BC515" i="17"/>
  <c r="BN516" i="17"/>
  <c r="AP516" i="17"/>
  <c r="BV511" i="17"/>
  <c r="AT520" i="17"/>
  <c r="BB520" i="17"/>
  <c r="BF520" i="17"/>
  <c r="AM521" i="17"/>
  <c r="AQ521" i="17"/>
  <c r="BV512" i="17"/>
  <c r="BF514" i="17"/>
  <c r="BJ514" i="17"/>
  <c r="AL521" i="17"/>
  <c r="BF522" i="17"/>
  <c r="BJ522" i="17"/>
  <c r="N54" i="17"/>
  <c r="AY519" i="17"/>
  <c r="BK519" i="17"/>
  <c r="BR512" i="17"/>
  <c r="BK514" i="17"/>
  <c r="BO514" i="17"/>
  <c r="AM514" i="17"/>
  <c r="S514" i="17" s="1"/>
  <c r="AU521" i="17"/>
  <c r="AL517" i="17"/>
  <c r="AX514" i="17"/>
  <c r="BB515" i="17"/>
  <c r="BJ511" i="17"/>
  <c r="BN512" i="17"/>
  <c r="AL522" i="17"/>
  <c r="AP522" i="17"/>
  <c r="AT522" i="17"/>
  <c r="BJ519" i="17"/>
  <c r="O48" i="17"/>
  <c r="P48" i="17" s="1"/>
  <c r="O500" i="17"/>
  <c r="P500" i="17" s="1"/>
  <c r="N63" i="17"/>
  <c r="AX520" i="17"/>
  <c r="BN520" i="17"/>
  <c r="AY507" i="17"/>
  <c r="BS507" i="17"/>
  <c r="AM507" i="17"/>
  <c r="AU507" i="17"/>
  <c r="BC507" i="17"/>
  <c r="BW507" i="17"/>
  <c r="BG507" i="17"/>
  <c r="BK507" i="17"/>
  <c r="O18" i="17"/>
  <c r="P18" i="17" s="1"/>
  <c r="BV518" i="17"/>
  <c r="AL518" i="17"/>
  <c r="BF518" i="17"/>
  <c r="BB518" i="17"/>
  <c r="BR518" i="17"/>
  <c r="BN518" i="17"/>
  <c r="AX518" i="17"/>
  <c r="AT518" i="17"/>
  <c r="AX513" i="17"/>
  <c r="AP513" i="17"/>
  <c r="BJ513" i="17"/>
  <c r="BR513" i="17"/>
  <c r="BV513" i="17"/>
  <c r="AT513" i="17"/>
  <c r="AL513" i="17"/>
  <c r="BN517" i="17"/>
  <c r="AP517" i="17"/>
  <c r="AU511" i="17"/>
  <c r="BO511" i="17"/>
  <c r="N55" i="17"/>
  <c r="O55" i="17"/>
  <c r="P55" i="17" s="1"/>
  <c r="BN519" i="17"/>
  <c r="BB519" i="17"/>
  <c r="BW516" i="17"/>
  <c r="BO516" i="17"/>
  <c r="AQ512" i="17"/>
  <c r="AU512" i="17"/>
  <c r="AQ509" i="17"/>
  <c r="BC509" i="17"/>
  <c r="O25" i="17"/>
  <c r="P25" i="17" s="1"/>
  <c r="N25" i="17"/>
  <c r="O56" i="17"/>
  <c r="P56" i="17" s="1"/>
  <c r="N56" i="17"/>
  <c r="O49" i="17"/>
  <c r="P49" i="17" s="1"/>
  <c r="N49" i="17"/>
  <c r="AX521" i="17"/>
  <c r="AY511" i="17"/>
  <c r="AY522" i="17"/>
  <c r="AX517" i="17"/>
  <c r="BN521" i="17"/>
  <c r="AQ515" i="17"/>
  <c r="O29" i="17"/>
  <c r="P29" i="17" s="1"/>
  <c r="O35" i="17"/>
  <c r="P35" i="17" s="1"/>
  <c r="O52" i="17"/>
  <c r="P52" i="17" s="1"/>
  <c r="AY512" i="17"/>
  <c r="BB517" i="17"/>
  <c r="BS508" i="17"/>
  <c r="BG509" i="17"/>
  <c r="BR519" i="17"/>
  <c r="BV519" i="17"/>
  <c r="O37" i="17"/>
  <c r="P37" i="17" s="1"/>
  <c r="BG515" i="17"/>
  <c r="AU515" i="17"/>
  <c r="BC508" i="17"/>
  <c r="BO508" i="17"/>
  <c r="O57" i="17"/>
  <c r="P57" i="17" s="1"/>
  <c r="N57" i="17"/>
  <c r="BF515" i="17"/>
  <c r="BV515" i="17"/>
  <c r="N44" i="17"/>
  <c r="O44" i="17"/>
  <c r="P44" i="17" s="1"/>
  <c r="O42" i="17"/>
  <c r="P42" i="17" s="1"/>
  <c r="N42" i="17"/>
  <c r="O36" i="17"/>
  <c r="P36" i="17" s="1"/>
  <c r="N36" i="17"/>
  <c r="BG521" i="17"/>
  <c r="BO521" i="17"/>
  <c r="AU518" i="17"/>
  <c r="BC518" i="17"/>
  <c r="BK518" i="17"/>
  <c r="BS518" i="17"/>
  <c r="AQ518" i="17"/>
  <c r="BF517" i="17"/>
  <c r="BV517" i="17"/>
  <c r="N62" i="17"/>
  <c r="BS515" i="17"/>
  <c r="BG511" i="17"/>
  <c r="BO522" i="17"/>
  <c r="BB521" i="17"/>
  <c r="AY508" i="17"/>
  <c r="BK508" i="17"/>
  <c r="AL509" i="17"/>
  <c r="AN509" i="17" s="1"/>
  <c r="BW511" i="17"/>
  <c r="BF519" i="17"/>
  <c r="AM509" i="17"/>
  <c r="BC512" i="17"/>
  <c r="BK516" i="17"/>
  <c r="BS522" i="17"/>
  <c r="BC522" i="17"/>
  <c r="AM522" i="17"/>
  <c r="AT517" i="17"/>
  <c r="BJ521" i="17"/>
  <c r="AM516" i="17"/>
  <c r="O58" i="17"/>
  <c r="P58" i="17" s="1"/>
  <c r="AM515" i="17"/>
  <c r="AM511" i="17"/>
  <c r="BS511" i="17"/>
  <c r="AL519" i="17"/>
  <c r="AU509" i="17"/>
  <c r="BW509" i="17"/>
  <c r="BK512" i="17"/>
  <c r="AQ516" i="17"/>
  <c r="BG516" i="17"/>
  <c r="BG522" i="17"/>
  <c r="AQ522" i="17"/>
  <c r="AU508" i="17"/>
  <c r="AT511" i="17"/>
  <c r="AL511" i="17"/>
  <c r="BW508" i="17"/>
  <c r="AX515" i="17"/>
  <c r="AL516" i="17"/>
  <c r="BB512" i="17"/>
  <c r="O20" i="17"/>
  <c r="P20" i="17" s="1"/>
  <c r="BK509" i="17"/>
  <c r="BG512" i="17"/>
  <c r="AM512" i="17"/>
  <c r="BK511" i="17"/>
  <c r="BK515" i="17"/>
  <c r="BV520" i="17"/>
  <c r="N45" i="17"/>
  <c r="N43" i="17"/>
  <c r="BB514" i="17"/>
  <c r="AQ507" i="17"/>
  <c r="N19" i="17"/>
  <c r="X19" i="17" s="1"/>
  <c r="X527" i="17" s="1"/>
  <c r="O17" i="17"/>
  <c r="P17" i="17" s="1"/>
  <c r="E10" i="37"/>
  <c r="C95" i="29"/>
  <c r="G43" i="34" s="1"/>
  <c r="E66" i="24"/>
  <c r="E134" i="15"/>
  <c r="E135" i="15" s="1"/>
  <c r="E84" i="15"/>
  <c r="E30" i="24" s="1"/>
  <c r="G156" i="15"/>
  <c r="J167" i="15"/>
  <c r="G167" i="15"/>
  <c r="I86" i="37"/>
  <c r="H74" i="15"/>
  <c r="E71" i="37"/>
  <c r="J74" i="15"/>
  <c r="I32" i="24"/>
  <c r="I156" i="15"/>
  <c r="J104" i="15"/>
  <c r="E54" i="34"/>
  <c r="E11" i="37" s="1"/>
  <c r="I84" i="15"/>
  <c r="I30" i="24" s="1"/>
  <c r="I134" i="15"/>
  <c r="I66" i="24"/>
  <c r="G134" i="15"/>
  <c r="G66" i="24"/>
  <c r="G84" i="15"/>
  <c r="G30" i="24" s="1"/>
  <c r="E110" i="34"/>
  <c r="J156" i="15"/>
  <c r="K110" i="34"/>
  <c r="M110" i="34"/>
  <c r="I29" i="24"/>
  <c r="G86" i="37"/>
  <c r="H156" i="15"/>
  <c r="O110" i="34"/>
  <c r="H104" i="15"/>
  <c r="I83" i="24"/>
  <c r="G32" i="24"/>
  <c r="K71" i="29" l="1"/>
  <c r="M71" i="29" s="1"/>
  <c r="O71" i="29" s="1"/>
  <c r="Q71" i="29" s="1"/>
  <c r="I51" i="15"/>
  <c r="I12" i="24" s="1"/>
  <c r="I38" i="7"/>
  <c r="I10" i="15" s="1"/>
  <c r="C55" i="7"/>
  <c r="I41" i="15"/>
  <c r="I40" i="15" s="1"/>
  <c r="I10" i="24" s="1"/>
  <c r="E41" i="15"/>
  <c r="E40" i="15" s="1"/>
  <c r="E10" i="24" s="1"/>
  <c r="I30" i="15"/>
  <c r="I9" i="24" s="1"/>
  <c r="C88" i="7"/>
  <c r="E51" i="15"/>
  <c r="E12" i="24" s="1"/>
  <c r="G51" i="15"/>
  <c r="G12" i="24" s="1"/>
  <c r="J114" i="15"/>
  <c r="J124" i="15"/>
  <c r="J94" i="15"/>
  <c r="C40" i="29"/>
  <c r="S71" i="29"/>
  <c r="E41" i="29"/>
  <c r="D40" i="29"/>
  <c r="D48" i="29" s="1"/>
  <c r="V126" i="30"/>
  <c r="F126" i="30"/>
  <c r="V72" i="30"/>
  <c r="M126" i="30"/>
  <c r="G42" i="14"/>
  <c r="E177" i="15"/>
  <c r="M72" i="30"/>
  <c r="F72" i="30"/>
  <c r="I145" i="15"/>
  <c r="I67" i="24" s="1"/>
  <c r="I187" i="15"/>
  <c r="I50" i="14"/>
  <c r="G145" i="15"/>
  <c r="G67" i="24" s="1"/>
  <c r="H50" i="14"/>
  <c r="G187" i="15"/>
  <c r="V18" i="30"/>
  <c r="F18" i="30"/>
  <c r="G20" i="15"/>
  <c r="G8" i="24" s="1"/>
  <c r="G7" i="24"/>
  <c r="E22" i="30"/>
  <c r="F22" i="30" s="1"/>
  <c r="C23" i="30" s="1"/>
  <c r="N22" i="30"/>
  <c r="P22" i="30" s="1"/>
  <c r="U19" i="17"/>
  <c r="Y19" i="17"/>
  <c r="Y525" i="17" s="1"/>
  <c r="W529" i="17"/>
  <c r="W541" i="17" s="1"/>
  <c r="U541" i="17"/>
  <c r="Y541" i="17"/>
  <c r="Y539" i="17"/>
  <c r="W539" i="17"/>
  <c r="Z541" i="17"/>
  <c r="Z539" i="17"/>
  <c r="T541" i="17"/>
  <c r="X541" i="17"/>
  <c r="T539" i="17"/>
  <c r="X539" i="17"/>
  <c r="AB539" i="17"/>
  <c r="V539" i="17"/>
  <c r="Z513" i="17"/>
  <c r="V510" i="17"/>
  <c r="X517" i="17"/>
  <c r="AA513" i="17"/>
  <c r="G11" i="24"/>
  <c r="E10" i="15"/>
  <c r="G88" i="7"/>
  <c r="E11" i="24"/>
  <c r="K26" i="37"/>
  <c r="I23" i="29"/>
  <c r="M65" i="34" s="1"/>
  <c r="AA17" i="17"/>
  <c r="AA529" i="17" s="1"/>
  <c r="AA541" i="17" s="1"/>
  <c r="S513" i="17"/>
  <c r="AB529" i="17"/>
  <c r="AB541" i="17" s="1"/>
  <c r="E43" i="29"/>
  <c r="G43" i="29" s="1"/>
  <c r="I43" i="29" s="1"/>
  <c r="K43" i="29" s="1"/>
  <c r="M43" i="29" s="1"/>
  <c r="O43" i="29" s="1"/>
  <c r="Q43" i="29" s="1"/>
  <c r="S43" i="29" s="1"/>
  <c r="S511" i="17"/>
  <c r="Y513" i="17"/>
  <c r="T513" i="17"/>
  <c r="AB513" i="17"/>
  <c r="V513" i="17"/>
  <c r="U513" i="17"/>
  <c r="W513" i="17"/>
  <c r="X513" i="17"/>
  <c r="W528" i="17"/>
  <c r="E44" i="29"/>
  <c r="G44" i="29" s="1"/>
  <c r="I44" i="29" s="1"/>
  <c r="K44" i="29" s="1"/>
  <c r="M44" i="29" s="1"/>
  <c r="O44" i="29" s="1"/>
  <c r="Q44" i="29" s="1"/>
  <c r="S44" i="29" s="1"/>
  <c r="E88" i="7"/>
  <c r="I88" i="7"/>
  <c r="E31" i="34"/>
  <c r="E9" i="37" s="1"/>
  <c r="I11" i="24"/>
  <c r="U527" i="17"/>
  <c r="U539" i="17" s="1"/>
  <c r="AA527" i="17"/>
  <c r="AA539" i="17" s="1"/>
  <c r="S527" i="17"/>
  <c r="S539" i="17" s="1"/>
  <c r="AB512" i="17"/>
  <c r="X511" i="17"/>
  <c r="W514" i="17"/>
  <c r="S520" i="17"/>
  <c r="Y521" i="17"/>
  <c r="S512" i="17"/>
  <c r="W518" i="17"/>
  <c r="AA514" i="17"/>
  <c r="T514" i="17"/>
  <c r="W511" i="17"/>
  <c r="Z512" i="17"/>
  <c r="X512" i="17"/>
  <c r="W522" i="17"/>
  <c r="S516" i="17"/>
  <c r="V514" i="17"/>
  <c r="AB511" i="17"/>
  <c r="U514" i="17"/>
  <c r="V518" i="17"/>
  <c r="Z511" i="17"/>
  <c r="S515" i="17"/>
  <c r="Y519" i="17"/>
  <c r="X518" i="17"/>
  <c r="AA518" i="17"/>
  <c r="V517" i="17"/>
  <c r="T518" i="17"/>
  <c r="AB520" i="17"/>
  <c r="X520" i="17"/>
  <c r="AA521" i="17"/>
  <c r="AA519" i="17"/>
  <c r="U520" i="17"/>
  <c r="U522" i="17"/>
  <c r="U517" i="17"/>
  <c r="V521" i="17"/>
  <c r="T522" i="17"/>
  <c r="T517" i="17"/>
  <c r="Y522" i="17"/>
  <c r="Y520" i="17"/>
  <c r="Y517" i="17"/>
  <c r="W519" i="17"/>
  <c r="Z515" i="17"/>
  <c r="Z520" i="17"/>
  <c r="AB516" i="17"/>
  <c r="AB519" i="17"/>
  <c r="X516" i="17"/>
  <c r="X519" i="17"/>
  <c r="S517" i="17"/>
  <c r="S522" i="17"/>
  <c r="S521" i="17"/>
  <c r="AA511" i="17"/>
  <c r="AA520" i="17"/>
  <c r="AA512" i="17"/>
  <c r="U512" i="17"/>
  <c r="U519" i="17"/>
  <c r="U511" i="17"/>
  <c r="V515" i="17"/>
  <c r="V520" i="17"/>
  <c r="V512" i="17"/>
  <c r="T516" i="17"/>
  <c r="T519" i="17"/>
  <c r="T511" i="17"/>
  <c r="Y512" i="17"/>
  <c r="Y511" i="17"/>
  <c r="W520" i="17"/>
  <c r="W512" i="17"/>
  <c r="Z517" i="17"/>
  <c r="Z522" i="17"/>
  <c r="Z514" i="17"/>
  <c r="AB518" i="17"/>
  <c r="AB521" i="17"/>
  <c r="X521" i="17"/>
  <c r="S519" i="17"/>
  <c r="AA522" i="17"/>
  <c r="U521" i="17"/>
  <c r="V522" i="17"/>
  <c r="T521" i="17"/>
  <c r="Y516" i="17"/>
  <c r="W515" i="17"/>
  <c r="Z519" i="17"/>
  <c r="Z516" i="17"/>
  <c r="AB515" i="17"/>
  <c r="X515" i="17"/>
  <c r="S518" i="17"/>
  <c r="AA515" i="17"/>
  <c r="AA517" i="17"/>
  <c r="AA516" i="17"/>
  <c r="U518" i="17"/>
  <c r="U516" i="17"/>
  <c r="U515" i="17"/>
  <c r="V519" i="17"/>
  <c r="V511" i="17"/>
  <c r="V516" i="17"/>
  <c r="T520" i="17"/>
  <c r="T512" i="17"/>
  <c r="T515" i="17"/>
  <c r="Y518" i="17"/>
  <c r="Y514" i="17"/>
  <c r="Y515" i="17"/>
  <c r="W517" i="17"/>
  <c r="W521" i="17"/>
  <c r="W516" i="17"/>
  <c r="Z521" i="17"/>
  <c r="Z518" i="17"/>
  <c r="AB522" i="17"/>
  <c r="AB514" i="17"/>
  <c r="AB517" i="17"/>
  <c r="X522" i="17"/>
  <c r="X514" i="17"/>
  <c r="AB508" i="17"/>
  <c r="S507" i="17"/>
  <c r="U509" i="17"/>
  <c r="T509" i="17"/>
  <c r="U507" i="17"/>
  <c r="V507" i="17"/>
  <c r="V530" i="17" s="1"/>
  <c r="T507" i="17"/>
  <c r="S509" i="17"/>
  <c r="AA508" i="17"/>
  <c r="U510" i="17"/>
  <c r="S510" i="17"/>
  <c r="T510" i="17"/>
  <c r="AS510" i="17"/>
  <c r="AP509" i="17"/>
  <c r="AP508" i="17"/>
  <c r="AS508" i="17" s="1"/>
  <c r="AS507" i="17"/>
  <c r="AT507" i="17" s="1"/>
  <c r="W507" i="17" s="1"/>
  <c r="W530" i="17" s="1"/>
  <c r="W525" i="17"/>
  <c r="U525" i="17"/>
  <c r="U528" i="17"/>
  <c r="T525" i="17"/>
  <c r="T528" i="17"/>
  <c r="V528" i="17"/>
  <c r="Z525" i="17"/>
  <c r="Z528" i="17"/>
  <c r="X525" i="17"/>
  <c r="X528" i="17"/>
  <c r="AB528" i="17"/>
  <c r="Y528" i="17"/>
  <c r="S528" i="17"/>
  <c r="C48" i="29"/>
  <c r="E42" i="29"/>
  <c r="G42" i="29" s="1"/>
  <c r="I42" i="29" s="1"/>
  <c r="K42" i="29" s="1"/>
  <c r="M42" i="29" s="1"/>
  <c r="O42" i="29" s="1"/>
  <c r="Q42" i="29" s="1"/>
  <c r="S42" i="29" s="1"/>
  <c r="G42" i="34"/>
  <c r="G10" i="37"/>
  <c r="D94" i="29"/>
  <c r="I135" i="15"/>
  <c r="J134" i="15"/>
  <c r="H134" i="15"/>
  <c r="G135" i="15"/>
  <c r="C72" i="29" l="1"/>
  <c r="C73" i="29" s="1"/>
  <c r="E40" i="29"/>
  <c r="E20" i="34"/>
  <c r="E8" i="37" s="1"/>
  <c r="G197" i="15"/>
  <c r="H61" i="14"/>
  <c r="G217" i="15" s="1"/>
  <c r="I197" i="15"/>
  <c r="I61" i="14"/>
  <c r="I217" i="15" s="1"/>
  <c r="E145" i="15"/>
  <c r="E67" i="24" s="1"/>
  <c r="G50" i="14"/>
  <c r="E187" i="15"/>
  <c r="K23" i="30"/>
  <c r="N23" i="30" s="1"/>
  <c r="K24" i="30" s="1"/>
  <c r="I20" i="15"/>
  <c r="I8" i="24" s="1"/>
  <c r="I7" i="24"/>
  <c r="E20" i="15"/>
  <c r="E8" i="24" s="1"/>
  <c r="E7" i="24"/>
  <c r="C24" i="30"/>
  <c r="E23" i="30"/>
  <c r="F23" i="30" s="1"/>
  <c r="W538" i="17"/>
  <c r="AA525" i="17"/>
  <c r="M26" i="37"/>
  <c r="K23" i="29"/>
  <c r="O65" i="34" s="1"/>
  <c r="AA528" i="17"/>
  <c r="AB525" i="17"/>
  <c r="V525" i="17"/>
  <c r="V538" i="17" s="1"/>
  <c r="V532" i="17"/>
  <c r="V540" i="17" s="1"/>
  <c r="F29" i="29" s="1"/>
  <c r="W532" i="17"/>
  <c r="W540" i="17" s="1"/>
  <c r="C50" i="29"/>
  <c r="E9" i="34" s="1"/>
  <c r="E7" i="37" s="1"/>
  <c r="V529" i="17"/>
  <c r="V541" i="17" s="1"/>
  <c r="AS509" i="17"/>
  <c r="AT509" i="17" s="1"/>
  <c r="V509" i="17"/>
  <c r="U530" i="17"/>
  <c r="U538" i="17" s="1"/>
  <c r="U532" i="17"/>
  <c r="U540" i="17" s="1"/>
  <c r="S530" i="17"/>
  <c r="S532" i="17"/>
  <c r="S540" i="17" s="1"/>
  <c r="T530" i="17"/>
  <c r="T538" i="17" s="1"/>
  <c r="T532" i="17"/>
  <c r="T540" i="17" s="1"/>
  <c r="AT510" i="17"/>
  <c r="AT508" i="17"/>
  <c r="AW507" i="17"/>
  <c r="AX507" i="17" s="1"/>
  <c r="H28" i="29"/>
  <c r="F28" i="29"/>
  <c r="E94" i="29"/>
  <c r="D95" i="29"/>
  <c r="D72" i="29"/>
  <c r="G20" i="34"/>
  <c r="G8" i="37" s="1"/>
  <c r="G41" i="29" l="1"/>
  <c r="F40" i="29"/>
  <c r="F48" i="29" s="1"/>
  <c r="S534" i="17"/>
  <c r="S538" i="17"/>
  <c r="G61" i="14"/>
  <c r="E217" i="15" s="1"/>
  <c r="H217" i="15" s="1"/>
  <c r="E197" i="15"/>
  <c r="I218" i="15"/>
  <c r="J217" i="15"/>
  <c r="G218" i="15"/>
  <c r="M23" i="30"/>
  <c r="P23" i="30" s="1"/>
  <c r="K25" i="30"/>
  <c r="M24" i="30"/>
  <c r="P24" i="30" s="1"/>
  <c r="N24" i="30"/>
  <c r="E24" i="30"/>
  <c r="F24" i="30" s="1"/>
  <c r="C25" i="30" s="1"/>
  <c r="D27" i="29"/>
  <c r="D28" i="29"/>
  <c r="C26" i="29"/>
  <c r="C33" i="29" s="1"/>
  <c r="C28" i="29"/>
  <c r="C29" i="29"/>
  <c r="C30" i="29"/>
  <c r="D29" i="29"/>
  <c r="D30" i="29"/>
  <c r="F30" i="29"/>
  <c r="K98" i="34" s="1"/>
  <c r="K45" i="37" s="1"/>
  <c r="M23" i="29"/>
  <c r="O23" i="29" s="1"/>
  <c r="Q23" i="29" s="1"/>
  <c r="S23" i="29" s="1"/>
  <c r="O26" i="37"/>
  <c r="E48" i="29"/>
  <c r="H29" i="29"/>
  <c r="W509" i="17"/>
  <c r="AW508" i="17"/>
  <c r="BA508" i="17" s="1"/>
  <c r="S508" i="17"/>
  <c r="X507" i="17"/>
  <c r="AW510" i="17"/>
  <c r="W510" i="17"/>
  <c r="T534" i="17"/>
  <c r="T21" i="5" s="1"/>
  <c r="U534" i="17"/>
  <c r="I19" i="5" s="1"/>
  <c r="AW509" i="17"/>
  <c r="AX510" i="17"/>
  <c r="AX508" i="17"/>
  <c r="T508" i="17" s="1"/>
  <c r="V534" i="17"/>
  <c r="V21" i="5" s="1"/>
  <c r="BA507" i="17"/>
  <c r="BB507" i="17" s="1"/>
  <c r="Y507" i="17" s="1"/>
  <c r="I10" i="37"/>
  <c r="I42" i="34"/>
  <c r="F94" i="29"/>
  <c r="F95" i="29" s="1"/>
  <c r="I43" i="34"/>
  <c r="E95" i="29"/>
  <c r="E72" i="29"/>
  <c r="D73" i="29"/>
  <c r="D9" i="38" l="1"/>
  <c r="D11" i="38" s="1"/>
  <c r="D33" i="38" s="1"/>
  <c r="G40" i="29"/>
  <c r="G48" i="29" s="1"/>
  <c r="C26" i="30"/>
  <c r="E25" i="30"/>
  <c r="F25" i="30" s="1"/>
  <c r="N25" i="30"/>
  <c r="K26" i="30" s="1"/>
  <c r="M25" i="30"/>
  <c r="I87" i="34"/>
  <c r="I44" i="37" s="1"/>
  <c r="E29" i="29"/>
  <c r="G29" i="29" s="1"/>
  <c r="I29" i="29" s="1"/>
  <c r="D26" i="29"/>
  <c r="S542" i="17"/>
  <c r="I98" i="34"/>
  <c r="I45" i="37" s="1"/>
  <c r="E28" i="29"/>
  <c r="G28" i="29" s="1"/>
  <c r="I28" i="29" s="1"/>
  <c r="U542" i="17"/>
  <c r="E27" i="29"/>
  <c r="G98" i="34"/>
  <c r="G45" i="37" s="1"/>
  <c r="T542" i="17"/>
  <c r="G87" i="34"/>
  <c r="G44" i="37" s="1"/>
  <c r="E30" i="29"/>
  <c r="G30" i="29" s="1"/>
  <c r="V542" i="17"/>
  <c r="Y530" i="17"/>
  <c r="Y532" i="17"/>
  <c r="Y540" i="17" s="1"/>
  <c r="X530" i="17"/>
  <c r="X532" i="17"/>
  <c r="X540" i="17" s="1"/>
  <c r="U21" i="5"/>
  <c r="F27" i="29"/>
  <c r="BA510" i="17"/>
  <c r="BE510" i="17" s="1"/>
  <c r="X510" i="17"/>
  <c r="H19" i="5"/>
  <c r="AX509" i="17"/>
  <c r="H30" i="29"/>
  <c r="M98" i="34" s="1"/>
  <c r="M45" i="37" s="1"/>
  <c r="W542" i="17"/>
  <c r="BB510" i="17"/>
  <c r="Y510" i="17" s="1"/>
  <c r="BE508" i="17"/>
  <c r="BB508" i="17"/>
  <c r="U508" i="17" s="1"/>
  <c r="J19" i="5"/>
  <c r="BE507" i="17"/>
  <c r="BF507" i="17" s="1"/>
  <c r="K42" i="34"/>
  <c r="H94" i="29"/>
  <c r="H95" i="29" s="1"/>
  <c r="K10" i="37"/>
  <c r="K43" i="34"/>
  <c r="G95" i="29"/>
  <c r="G94" i="29"/>
  <c r="I94" i="29" s="1"/>
  <c r="I20" i="34"/>
  <c r="I8" i="37" s="1"/>
  <c r="F72" i="29"/>
  <c r="F73" i="29" s="1"/>
  <c r="E73" i="29"/>
  <c r="I41" i="29" l="1"/>
  <c r="H40" i="29"/>
  <c r="H48" i="29" s="1"/>
  <c r="P25" i="30"/>
  <c r="N26" i="30"/>
  <c r="K27" i="30" s="1"/>
  <c r="M26" i="30"/>
  <c r="E26" i="30"/>
  <c r="F26" i="30" s="1"/>
  <c r="C27" i="30" s="1"/>
  <c r="L28" i="29"/>
  <c r="Y538" i="17"/>
  <c r="J28" i="29"/>
  <c r="X538" i="17"/>
  <c r="J27" i="29" s="1"/>
  <c r="C49" i="29"/>
  <c r="G76" i="34"/>
  <c r="G27" i="37" s="1"/>
  <c r="I76" i="34"/>
  <c r="I27" i="37" s="1"/>
  <c r="E9" i="38"/>
  <c r="E11" i="38" s="1"/>
  <c r="E33" i="38" s="1"/>
  <c r="D33" i="29"/>
  <c r="D49" i="29" s="1"/>
  <c r="D96" i="29" s="1"/>
  <c r="E26" i="29"/>
  <c r="K28" i="29"/>
  <c r="F26" i="29"/>
  <c r="K76" i="34" s="1"/>
  <c r="K27" i="37" s="1"/>
  <c r="K87" i="34"/>
  <c r="K44" i="37" s="1"/>
  <c r="G27" i="29"/>
  <c r="J29" i="29"/>
  <c r="X509" i="17"/>
  <c r="Z507" i="17"/>
  <c r="BA509" i="17"/>
  <c r="H27" i="29"/>
  <c r="I30" i="29"/>
  <c r="W534" i="17"/>
  <c r="K19" i="5" s="1"/>
  <c r="BI510" i="17"/>
  <c r="BF510" i="17"/>
  <c r="Z510" i="17" s="1"/>
  <c r="BI508" i="17"/>
  <c r="BF508" i="17"/>
  <c r="V508" i="17" s="1"/>
  <c r="J30" i="29"/>
  <c r="X534" i="17"/>
  <c r="X21" i="5" s="1"/>
  <c r="BI507" i="17"/>
  <c r="I95" i="29"/>
  <c r="M43" i="34"/>
  <c r="J94" i="29"/>
  <c r="J95" i="29" s="1"/>
  <c r="M42" i="34"/>
  <c r="M10" i="37"/>
  <c r="G73" i="29"/>
  <c r="K94" i="29"/>
  <c r="H72" i="29"/>
  <c r="H73" i="29" s="1"/>
  <c r="K20" i="34"/>
  <c r="K8" i="37" s="1"/>
  <c r="G72" i="29"/>
  <c r="I40" i="29" l="1"/>
  <c r="I48" i="29" s="1"/>
  <c r="M27" i="30"/>
  <c r="P27" i="30" s="1"/>
  <c r="N27" i="30"/>
  <c r="K28" i="30" s="1"/>
  <c r="E27" i="30"/>
  <c r="F27" i="30" s="1"/>
  <c r="C28" i="30" s="1"/>
  <c r="P26" i="30"/>
  <c r="E33" i="29"/>
  <c r="M28" i="29"/>
  <c r="F33" i="29"/>
  <c r="F49" i="29" s="1"/>
  <c r="F96" i="29" s="1"/>
  <c r="F9" i="38"/>
  <c r="F11" i="38" s="1"/>
  <c r="F33" i="38" s="1"/>
  <c r="G26" i="29"/>
  <c r="H26" i="29"/>
  <c r="H33" i="29" s="1"/>
  <c r="H49" i="29" s="1"/>
  <c r="H96" i="29" s="1"/>
  <c r="M87" i="34"/>
  <c r="M44" i="37" s="1"/>
  <c r="Z530" i="17"/>
  <c r="Z538" i="17" s="1"/>
  <c r="Z532" i="17"/>
  <c r="Z540" i="17" s="1"/>
  <c r="M76" i="34"/>
  <c r="M27" i="37" s="1"/>
  <c r="K29" i="29"/>
  <c r="X542" i="17"/>
  <c r="O98" i="34"/>
  <c r="O45" i="37" s="1"/>
  <c r="W21" i="5"/>
  <c r="BB509" i="17"/>
  <c r="BE509" i="17"/>
  <c r="I27" i="29"/>
  <c r="K27" i="29" s="1"/>
  <c r="BJ507" i="17"/>
  <c r="BM507" i="17" s="1"/>
  <c r="BM510" i="17"/>
  <c r="BJ510" i="17"/>
  <c r="AA510" i="17" s="1"/>
  <c r="BM508" i="17"/>
  <c r="BJ508" i="17"/>
  <c r="W508" i="17" s="1"/>
  <c r="K30" i="29"/>
  <c r="L30" i="29"/>
  <c r="I73" i="29"/>
  <c r="J26" i="29"/>
  <c r="C51" i="29"/>
  <c r="C96" i="29"/>
  <c r="E49" i="29"/>
  <c r="L19" i="5"/>
  <c r="K95" i="29"/>
  <c r="O10" i="37"/>
  <c r="O42" i="34"/>
  <c r="O43" i="34"/>
  <c r="L94" i="29"/>
  <c r="L95" i="29" s="1"/>
  <c r="N94" i="29" s="1"/>
  <c r="N95" i="29" s="1"/>
  <c r="P94" i="29" s="1"/>
  <c r="P95" i="29" s="1"/>
  <c r="R94" i="29" s="1"/>
  <c r="R95" i="29" s="1"/>
  <c r="J72" i="29"/>
  <c r="J73" i="29" s="1"/>
  <c r="M20" i="34"/>
  <c r="M8" i="37" s="1"/>
  <c r="I72" i="29"/>
  <c r="K41" i="29" l="1"/>
  <c r="J40" i="29"/>
  <c r="J48" i="29" s="1"/>
  <c r="O87" i="34"/>
  <c r="O44" i="37" s="1"/>
  <c r="E28" i="30"/>
  <c r="F28" i="30" s="1"/>
  <c r="C29" i="30" s="1"/>
  <c r="E29" i="30" s="1"/>
  <c r="F29" i="30" s="1"/>
  <c r="N28" i="30"/>
  <c r="K29" i="30" s="1"/>
  <c r="M28" i="30"/>
  <c r="G33" i="29"/>
  <c r="I33" i="29" s="1"/>
  <c r="BN507" i="17"/>
  <c r="AB507" i="17" s="1"/>
  <c r="AB530" i="17" s="1"/>
  <c r="N27" i="29"/>
  <c r="N28" i="29"/>
  <c r="O28" i="29" s="1"/>
  <c r="G49" i="29"/>
  <c r="I49" i="29" s="1"/>
  <c r="I26" i="29"/>
  <c r="K26" i="29" s="1"/>
  <c r="G9" i="38"/>
  <c r="G11" i="38" s="1"/>
  <c r="G33" i="38" s="1"/>
  <c r="AB532" i="17"/>
  <c r="AB540" i="17" s="1"/>
  <c r="O76" i="34"/>
  <c r="O27" i="37" s="1"/>
  <c r="J33" i="29"/>
  <c r="K73" i="29"/>
  <c r="L27" i="29"/>
  <c r="AA507" i="17"/>
  <c r="L29" i="29"/>
  <c r="M29" i="29" s="1"/>
  <c r="Y509" i="17"/>
  <c r="BI509" i="17"/>
  <c r="BF509" i="17"/>
  <c r="Z509" i="17" s="1"/>
  <c r="N29" i="29"/>
  <c r="Y534" i="17"/>
  <c r="BQ510" i="17"/>
  <c r="BN510" i="17"/>
  <c r="AB510" i="17" s="1"/>
  <c r="BQ508" i="17"/>
  <c r="BN508" i="17"/>
  <c r="X508" i="17" s="1"/>
  <c r="M30" i="29"/>
  <c r="C74" i="29"/>
  <c r="D50" i="29"/>
  <c r="G9" i="34"/>
  <c r="G7" i="37" s="1"/>
  <c r="H9" i="38"/>
  <c r="H11" i="38" s="1"/>
  <c r="H33" i="38" s="1"/>
  <c r="C98" i="29"/>
  <c r="E96" i="29"/>
  <c r="G96" i="29" s="1"/>
  <c r="I96" i="29" s="1"/>
  <c r="M95" i="29"/>
  <c r="O95" i="29" s="1"/>
  <c r="Q95" i="29" s="1"/>
  <c r="S95" i="29" s="1"/>
  <c r="M94" i="29"/>
  <c r="O94" i="29" s="1"/>
  <c r="Q94" i="29" s="1"/>
  <c r="S94" i="29" s="1"/>
  <c r="O20" i="34"/>
  <c r="O8" i="37" s="1"/>
  <c r="L72" i="29"/>
  <c r="L73" i="29" s="1"/>
  <c r="N72" i="29" s="1"/>
  <c r="N73" i="29" s="1"/>
  <c r="P72" i="29" s="1"/>
  <c r="P73" i="29" s="1"/>
  <c r="R72" i="29" s="1"/>
  <c r="R73" i="29" s="1"/>
  <c r="K72" i="29"/>
  <c r="J49" i="29" l="1"/>
  <c r="J96" i="29" s="1"/>
  <c r="K96" i="29" s="1"/>
  <c r="K40" i="29"/>
  <c r="K48" i="29" s="1"/>
  <c r="P28" i="30"/>
  <c r="N29" i="30"/>
  <c r="M29" i="30"/>
  <c r="BQ507" i="17"/>
  <c r="BR507" i="17" s="1"/>
  <c r="R28" i="29"/>
  <c r="AB538" i="17"/>
  <c r="O29" i="29"/>
  <c r="AA530" i="17"/>
  <c r="AA538" i="17" s="1"/>
  <c r="AA532" i="17"/>
  <c r="L26" i="29"/>
  <c r="I9" i="38" s="1"/>
  <c r="I11" i="38" s="1"/>
  <c r="I33" i="38" s="1"/>
  <c r="Y542" i="17"/>
  <c r="M27" i="29"/>
  <c r="O27" i="29" s="1"/>
  <c r="BM509" i="17"/>
  <c r="BJ509" i="17"/>
  <c r="Z534" i="17"/>
  <c r="BU510" i="17"/>
  <c r="BR510" i="17"/>
  <c r="BU508" i="17"/>
  <c r="BR508" i="17"/>
  <c r="Y508" i="17" s="1"/>
  <c r="K33" i="29"/>
  <c r="G31" i="34"/>
  <c r="G9" i="37" s="1"/>
  <c r="N30" i="29"/>
  <c r="Z542" i="17"/>
  <c r="D97" i="29"/>
  <c r="C104" i="29"/>
  <c r="G54" i="34"/>
  <c r="G11" i="37" s="1"/>
  <c r="E50" i="29"/>
  <c r="D51" i="29"/>
  <c r="M72" i="29"/>
  <c r="O72" i="29" s="1"/>
  <c r="Q72" i="29" s="1"/>
  <c r="S72" i="29" s="1"/>
  <c r="M73" i="29"/>
  <c r="O73" i="29" s="1"/>
  <c r="Q73" i="29" s="1"/>
  <c r="S73" i="29" s="1"/>
  <c r="K49" i="29" l="1"/>
  <c r="M41" i="29"/>
  <c r="L40" i="29"/>
  <c r="L48" i="29" s="1"/>
  <c r="P29" i="30"/>
  <c r="M18" i="30" s="1"/>
  <c r="BU507" i="17"/>
  <c r="R27" i="29"/>
  <c r="P30" i="29"/>
  <c r="AA540" i="17"/>
  <c r="P29" i="29" s="1"/>
  <c r="Q29" i="29" s="1"/>
  <c r="P27" i="29"/>
  <c r="Q27" i="29" s="1"/>
  <c r="P28" i="29"/>
  <c r="Q28" i="29" s="1"/>
  <c r="S28" i="29" s="1"/>
  <c r="L33" i="29"/>
  <c r="M26" i="29"/>
  <c r="AA509" i="17"/>
  <c r="BN509" i="17"/>
  <c r="BQ509" i="17"/>
  <c r="AA534" i="17"/>
  <c r="BY510" i="17"/>
  <c r="BV510" i="17"/>
  <c r="BY508" i="17"/>
  <c r="BV508" i="17"/>
  <c r="Z508" i="17" s="1"/>
  <c r="D98" i="29"/>
  <c r="E97" i="29"/>
  <c r="N26" i="29"/>
  <c r="O30" i="29"/>
  <c r="I9" i="34"/>
  <c r="I7" i="37" s="1"/>
  <c r="D74" i="29"/>
  <c r="F50" i="29"/>
  <c r="F51" i="29" s="1"/>
  <c r="E51" i="29"/>
  <c r="M40" i="29" l="1"/>
  <c r="M48" i="29" s="1"/>
  <c r="L49" i="29"/>
  <c r="L96" i="29" s="1"/>
  <c r="M96" i="29" s="1"/>
  <c r="S27" i="29"/>
  <c r="BY507" i="17"/>
  <c r="BV507" i="17"/>
  <c r="Q30" i="29"/>
  <c r="M33" i="29"/>
  <c r="R29" i="29"/>
  <c r="S29" i="29" s="1"/>
  <c r="AB509" i="17"/>
  <c r="AK17" i="17" s="1"/>
  <c r="P26" i="29"/>
  <c r="P33" i="29" s="1"/>
  <c r="AA542" i="17"/>
  <c r="BU509" i="17"/>
  <c r="BR509" i="17"/>
  <c r="AB534" i="17"/>
  <c r="R30" i="29"/>
  <c r="J9" i="38"/>
  <c r="J11" i="38" s="1"/>
  <c r="J33" i="38" s="1"/>
  <c r="N33" i="29"/>
  <c r="O26" i="29"/>
  <c r="F97" i="29"/>
  <c r="F98" i="29" s="1"/>
  <c r="I54" i="34"/>
  <c r="I11" i="37" s="1"/>
  <c r="D104" i="29"/>
  <c r="E104" i="29" s="1"/>
  <c r="E98" i="29"/>
  <c r="G50" i="29"/>
  <c r="H50" i="29"/>
  <c r="H51" i="29" s="1"/>
  <c r="K9" i="34"/>
  <c r="K7" i="37" s="1"/>
  <c r="F74" i="29"/>
  <c r="K31" i="34" s="1"/>
  <c r="K9" i="37" s="1"/>
  <c r="I31" i="34"/>
  <c r="I9" i="37" s="1"/>
  <c r="E74" i="29"/>
  <c r="G51" i="29"/>
  <c r="AK16" i="17" l="1"/>
  <c r="O41" i="29"/>
  <c r="N40" i="29"/>
  <c r="N48" i="29" s="1"/>
  <c r="N49" i="29" s="1"/>
  <c r="M49" i="29"/>
  <c r="AK14" i="17"/>
  <c r="AK15" i="17"/>
  <c r="Q26" i="29"/>
  <c r="K9" i="38"/>
  <c r="K11" i="38" s="1"/>
  <c r="K33" i="38" s="1"/>
  <c r="AB542" i="17"/>
  <c r="R26" i="29"/>
  <c r="BY509" i="17"/>
  <c r="BV509" i="17"/>
  <c r="G97" i="29"/>
  <c r="S30" i="29"/>
  <c r="I51" i="29"/>
  <c r="G98" i="29"/>
  <c r="O33" i="29"/>
  <c r="Q33" i="29" s="1"/>
  <c r="J50" i="29"/>
  <c r="J51" i="29" s="1"/>
  <c r="H74" i="29"/>
  <c r="M31" i="34" s="1"/>
  <c r="M9" i="37" s="1"/>
  <c r="M9" i="34"/>
  <c r="M7" i="37" s="1"/>
  <c r="G74" i="29"/>
  <c r="F104" i="29"/>
  <c r="G104" i="29" s="1"/>
  <c r="K54" i="34"/>
  <c r="K11" i="37" s="1"/>
  <c r="H97" i="29"/>
  <c r="H98" i="29" s="1"/>
  <c r="I50" i="29"/>
  <c r="O40" i="29" l="1"/>
  <c r="O48" i="29" s="1"/>
  <c r="S26" i="29"/>
  <c r="L9" i="38"/>
  <c r="L11" i="38" s="1"/>
  <c r="L33" i="38" s="1"/>
  <c r="R33" i="29"/>
  <c r="I97" i="29"/>
  <c r="K50" i="29"/>
  <c r="I74" i="29"/>
  <c r="I98" i="29"/>
  <c r="N96" i="29"/>
  <c r="O96" i="29" s="1"/>
  <c r="O49" i="29"/>
  <c r="H104" i="29"/>
  <c r="I104" i="29" s="1"/>
  <c r="J97" i="29"/>
  <c r="J98" i="29" s="1"/>
  <c r="M54" i="34"/>
  <c r="M11" i="37" s="1"/>
  <c r="L50" i="29"/>
  <c r="L51" i="29" s="1"/>
  <c r="J74" i="29"/>
  <c r="O31" i="34" s="1"/>
  <c r="O9" i="37" s="1"/>
  <c r="O9" i="34"/>
  <c r="O7" i="37" s="1"/>
  <c r="K51" i="29"/>
  <c r="Q41" i="29" l="1"/>
  <c r="P40" i="29"/>
  <c r="P48" i="29" s="1"/>
  <c r="P49" i="29" s="1"/>
  <c r="P96" i="29" s="1"/>
  <c r="Q96" i="29" s="1"/>
  <c r="S33" i="29"/>
  <c r="K98" i="29"/>
  <c r="M51" i="29"/>
  <c r="M50" i="29"/>
  <c r="O54" i="34"/>
  <c r="O11" i="37" s="1"/>
  <c r="L97" i="29"/>
  <c r="L98" i="29" s="1"/>
  <c r="J104" i="29"/>
  <c r="K104" i="29" s="1"/>
  <c r="N50" i="29"/>
  <c r="N51" i="29" s="1"/>
  <c r="L74" i="29"/>
  <c r="K97" i="29"/>
  <c r="K74" i="29"/>
  <c r="Q49" i="29" l="1"/>
  <c r="R40" i="29"/>
  <c r="R48" i="29" s="1"/>
  <c r="R49" i="29" s="1"/>
  <c r="R96" i="29" s="1"/>
  <c r="S96" i="29" s="1"/>
  <c r="Q40" i="29"/>
  <c r="M98" i="29"/>
  <c r="M97" i="29"/>
  <c r="M74" i="29"/>
  <c r="O50" i="29"/>
  <c r="N74" i="29"/>
  <c r="P50" i="29"/>
  <c r="P51" i="29" s="1"/>
  <c r="N97" i="29"/>
  <c r="N98" i="29" s="1"/>
  <c r="L104" i="29"/>
  <c r="M104" i="29" s="1"/>
  <c r="O51" i="29"/>
  <c r="Q48" i="29" l="1"/>
  <c r="S48" i="29" s="1"/>
  <c r="S40" i="29"/>
  <c r="S49" i="29"/>
  <c r="S41" i="29"/>
  <c r="O74" i="29"/>
  <c r="O97" i="29"/>
  <c r="P74" i="29"/>
  <c r="R50" i="29"/>
  <c r="R51" i="29" s="1"/>
  <c r="R74" i="29" s="1"/>
  <c r="P97" i="29"/>
  <c r="P98" i="29" s="1"/>
  <c r="N104" i="29"/>
  <c r="O104" i="29" s="1"/>
  <c r="Q50" i="29"/>
  <c r="O98" i="29"/>
  <c r="Q51" i="29"/>
  <c r="Q98" i="29" l="1"/>
  <c r="Q97" i="29"/>
  <c r="S50" i="29"/>
  <c r="Q74" i="29"/>
  <c r="S74" i="29" s="1"/>
  <c r="S51" i="29"/>
  <c r="R97" i="29"/>
  <c r="R98" i="29" s="1"/>
  <c r="R104" i="29" s="1"/>
  <c r="P104" i="29"/>
  <c r="Q104" i="29" s="1"/>
  <c r="S97" i="29" l="1"/>
  <c r="S104" i="29"/>
  <c r="S98" i="29"/>
</calcChain>
</file>

<file path=xl/comments1.xml><?xml version="1.0" encoding="utf-8"?>
<comments xmlns="http://schemas.openxmlformats.org/spreadsheetml/2006/main">
  <authors>
    <author>AVENIERE</author>
    <author>MARS2</author>
  </authors>
  <commentList>
    <comment ref="E17" authorId="0" shapeId="0">
      <text>
        <r>
          <rPr>
            <b/>
            <sz val="9"/>
            <color indexed="81"/>
            <rFont val="Tahoma"/>
            <family val="2"/>
          </rPr>
          <t>MAPES :</t>
        </r>
        <r>
          <rPr>
            <sz val="9"/>
            <color indexed="81"/>
            <rFont val="Tahoma"/>
            <family val="2"/>
          </rPr>
          <t xml:space="preserve">
Renseignez l'année N concernée. Format : AAAA</t>
        </r>
      </text>
    </comment>
    <comment ref="B20" authorId="1" shapeId="0">
      <text>
        <r>
          <rPr>
            <sz val="9"/>
            <color indexed="81"/>
            <rFont val="Tahoma"/>
            <family val="2"/>
          </rPr>
          <t>Solde des comptes 20.</t>
        </r>
      </text>
    </comment>
    <comment ref="F20" authorId="1" shapeId="0">
      <text>
        <r>
          <rPr>
            <sz val="9"/>
            <color indexed="81"/>
            <rFont val="Tahoma"/>
            <family val="2"/>
          </rPr>
          <t>Solde des comptes 102.</t>
        </r>
      </text>
    </comment>
    <comment ref="F21" authorId="1" shapeId="0">
      <text>
        <r>
          <rPr>
            <sz val="9"/>
            <color indexed="81"/>
            <rFont val="Tahoma"/>
            <family val="2"/>
          </rPr>
          <t>Solde des comptes 1064 (M22) ou 1486 (M21bis).</t>
        </r>
      </text>
    </comment>
    <comment ref="B22" authorId="1" shapeId="0">
      <text>
        <r>
          <rPr>
            <sz val="9"/>
            <color indexed="81"/>
            <rFont val="Tahoma"/>
            <family val="2"/>
          </rPr>
          <t>Ligne</t>
        </r>
        <r>
          <rPr>
            <b/>
            <sz val="9"/>
            <color indexed="81"/>
            <rFont val="Tahoma"/>
            <family val="2"/>
          </rPr>
          <t xml:space="preserve"> se calculant automatiquement. </t>
        </r>
        <r>
          <rPr>
            <sz val="9"/>
            <color indexed="81"/>
            <rFont val="Tahoma"/>
            <family val="2"/>
          </rPr>
          <t>Complétez les lignes 23, 24, 25 et 26.</t>
        </r>
      </text>
    </comment>
    <comment ref="C22" authorId="1" shapeId="0">
      <text>
        <r>
          <rPr>
            <sz val="9"/>
            <color indexed="81"/>
            <rFont val="Tahoma"/>
            <family val="2"/>
          </rPr>
          <t xml:space="preserve">Ligne </t>
        </r>
        <r>
          <rPr>
            <b/>
            <sz val="9"/>
            <color indexed="81"/>
            <rFont val="Tahoma"/>
            <family val="2"/>
          </rPr>
          <t xml:space="preserve">se calculant automatiquement. </t>
        </r>
        <r>
          <rPr>
            <sz val="9"/>
            <color indexed="81"/>
            <rFont val="Tahoma"/>
            <family val="2"/>
          </rPr>
          <t>Complétez les lignes 23, 24, 25 et 26.</t>
        </r>
      </text>
    </comment>
    <comment ref="D22" authorId="1" shapeId="0">
      <text>
        <r>
          <rPr>
            <sz val="9"/>
            <color indexed="81"/>
            <rFont val="Tahoma"/>
            <family val="2"/>
          </rPr>
          <t>Ligne</t>
        </r>
        <r>
          <rPr>
            <b/>
            <sz val="9"/>
            <color indexed="81"/>
            <rFont val="Tahoma"/>
            <family val="2"/>
          </rPr>
          <t xml:space="preserve"> se calculant automatiquement. </t>
        </r>
        <r>
          <rPr>
            <sz val="9"/>
            <color indexed="81"/>
            <rFont val="Tahoma"/>
            <family val="2"/>
          </rPr>
          <t>Complétez les lignes 23, 24, 25 et 26.</t>
        </r>
      </text>
    </comment>
    <comment ref="E22" authorId="1" shapeId="0">
      <text>
        <r>
          <rPr>
            <sz val="9"/>
            <color indexed="81"/>
            <rFont val="Tahoma"/>
            <family val="2"/>
          </rPr>
          <t xml:space="preserve">Ligne </t>
        </r>
        <r>
          <rPr>
            <b/>
            <sz val="9"/>
            <color indexed="81"/>
            <rFont val="Tahoma"/>
            <family val="2"/>
          </rPr>
          <t xml:space="preserve">se calculant automatiquement. </t>
        </r>
        <r>
          <rPr>
            <sz val="9"/>
            <color indexed="81"/>
            <rFont val="Tahoma"/>
            <family val="2"/>
          </rPr>
          <t>Complétez les lignes 23, 24, 25 et 26.</t>
        </r>
      </text>
    </comment>
    <comment ref="F22" authorId="1" shapeId="0">
      <text>
        <r>
          <rPr>
            <sz val="9"/>
            <color indexed="81"/>
            <rFont val="Tahoma"/>
            <family val="2"/>
          </rPr>
          <t>Solde de comptes 10682.</t>
        </r>
      </text>
    </comment>
    <comment ref="B23" authorId="1" shapeId="0">
      <text>
        <r>
          <rPr>
            <sz val="9"/>
            <color indexed="81"/>
            <rFont val="Tahoma"/>
            <family val="2"/>
          </rPr>
          <t>Solde des comptes 211.</t>
        </r>
      </text>
    </comment>
    <comment ref="F23" authorId="1" shapeId="0">
      <text>
        <r>
          <rPr>
            <sz val="9"/>
            <color indexed="81"/>
            <rFont val="Tahoma"/>
            <family val="2"/>
          </rPr>
          <t>Solde des comptes 13.</t>
        </r>
      </text>
    </comment>
    <comment ref="B24" authorId="1" shapeId="0">
      <text>
        <r>
          <rPr>
            <sz val="9"/>
            <color indexed="81"/>
            <rFont val="Tahoma"/>
            <family val="2"/>
          </rPr>
          <t>Solde des comptes 213 et 214.</t>
        </r>
      </text>
    </comment>
    <comment ref="F24" authorId="1" shapeId="0">
      <text>
        <r>
          <rPr>
            <sz val="9"/>
            <color indexed="81"/>
            <rFont val="Tahoma"/>
            <family val="2"/>
          </rPr>
          <t>Solde des comptes 10687.</t>
        </r>
      </text>
    </comment>
    <comment ref="B25" authorId="1" shapeId="0">
      <text>
        <r>
          <rPr>
            <sz val="9"/>
            <color indexed="81"/>
            <rFont val="Tahoma"/>
            <family val="2"/>
          </rPr>
          <t>Solde des comptes 215.</t>
        </r>
      </text>
    </comment>
    <comment ref="F25" authorId="1" shapeId="0">
      <text>
        <r>
          <rPr>
            <sz val="9"/>
            <color indexed="81"/>
            <rFont val="Tahoma"/>
            <family val="2"/>
          </rPr>
          <t>Solde des comptes 142 et 145.</t>
        </r>
      </text>
    </comment>
    <comment ref="B26" authorId="1" shapeId="0">
      <text>
        <r>
          <rPr>
            <sz val="9"/>
            <color indexed="81"/>
            <rFont val="Tahoma"/>
            <family val="2"/>
          </rPr>
          <t>Solde des comptes 212 et 218.</t>
        </r>
      </text>
    </comment>
    <comment ref="F26" authorId="1" shapeId="0">
      <text>
        <r>
          <rPr>
            <sz val="9"/>
            <color indexed="81"/>
            <rFont val="Tahoma"/>
            <family val="2"/>
          </rPr>
          <t>Solde des comptes 163 ; 164 ; 167 et 168 (sauf 1688).</t>
        </r>
      </text>
    </comment>
    <comment ref="B27" authorId="1" shapeId="0">
      <text>
        <r>
          <rPr>
            <sz val="9"/>
            <color indexed="81"/>
            <rFont val="Tahoma"/>
            <family val="2"/>
          </rPr>
          <t>Solde des comptes 216</t>
        </r>
      </text>
    </comment>
    <comment ref="F27" authorId="1" shapeId="0">
      <text>
        <r>
          <rPr>
            <sz val="9"/>
            <color indexed="81"/>
            <rFont val="Tahoma"/>
            <family val="2"/>
          </rPr>
          <t>Solde des comptes 165.</t>
        </r>
      </text>
    </comment>
    <comment ref="B28" authorId="1" shapeId="0">
      <text>
        <r>
          <rPr>
            <sz val="9"/>
            <color indexed="81"/>
            <rFont val="Tahoma"/>
            <family val="2"/>
          </rPr>
          <t>Solde des comptes 231.</t>
        </r>
      </text>
    </comment>
    <comment ref="F28" authorId="1" shapeId="0">
      <text>
        <r>
          <rPr>
            <sz val="9"/>
            <color indexed="81"/>
            <rFont val="Tahoma"/>
            <family val="2"/>
          </rPr>
          <t xml:space="preserve">Ligne </t>
        </r>
        <r>
          <rPr>
            <b/>
            <sz val="9"/>
            <color indexed="81"/>
            <rFont val="Tahoma"/>
            <family val="2"/>
          </rPr>
          <t>se</t>
        </r>
        <r>
          <rPr>
            <sz val="9"/>
            <color indexed="81"/>
            <rFont val="Tahoma"/>
            <family val="2"/>
          </rPr>
          <t xml:space="preserve"> </t>
        </r>
        <r>
          <rPr>
            <b/>
            <sz val="9"/>
            <color indexed="81"/>
            <rFont val="Tahoma"/>
            <family val="2"/>
          </rPr>
          <t>calculant automatiquement</t>
        </r>
        <r>
          <rPr>
            <sz val="9"/>
            <color indexed="81"/>
            <rFont val="Tahoma"/>
            <family val="2"/>
          </rPr>
          <t>. Complétez les lignes 29, 30, 31 et 32.</t>
        </r>
      </text>
    </comment>
    <comment ref="G28" authorId="1" shapeId="0">
      <text>
        <r>
          <rPr>
            <sz val="9"/>
            <color indexed="81"/>
            <rFont val="Tahoma"/>
            <family val="2"/>
          </rPr>
          <t>Ligne</t>
        </r>
        <r>
          <rPr>
            <b/>
            <sz val="9"/>
            <color indexed="81"/>
            <rFont val="Tahoma"/>
            <family val="2"/>
          </rPr>
          <t xml:space="preserve"> se calculant automatiquement. </t>
        </r>
        <r>
          <rPr>
            <sz val="9"/>
            <color indexed="81"/>
            <rFont val="Tahoma"/>
            <family val="2"/>
          </rPr>
          <t>Complétez les lignes 29, 30, 31 et 32.</t>
        </r>
      </text>
    </comment>
    <comment ref="H28" authorId="1" shapeId="0">
      <text>
        <r>
          <rPr>
            <sz val="9"/>
            <color indexed="81"/>
            <rFont val="Tahoma"/>
            <family val="2"/>
          </rPr>
          <t>Ligne</t>
        </r>
        <r>
          <rPr>
            <b/>
            <sz val="9"/>
            <color indexed="81"/>
            <rFont val="Tahoma"/>
            <family val="2"/>
          </rPr>
          <t xml:space="preserve"> se calculant automatiquement. </t>
        </r>
        <r>
          <rPr>
            <sz val="9"/>
            <color indexed="81"/>
            <rFont val="Tahoma"/>
            <family val="2"/>
          </rPr>
          <t>Complétez les lignes 29, 30, 31 et 32.</t>
        </r>
      </text>
    </comment>
    <comment ref="I28" authorId="1" shapeId="0">
      <text>
        <r>
          <rPr>
            <sz val="9"/>
            <color indexed="81"/>
            <rFont val="Tahoma"/>
            <family val="2"/>
          </rPr>
          <t xml:space="preserve">Ligne </t>
        </r>
        <r>
          <rPr>
            <b/>
            <sz val="9"/>
            <color indexed="81"/>
            <rFont val="Tahoma"/>
            <family val="2"/>
          </rPr>
          <t xml:space="preserve">se calculant automatiquement. </t>
        </r>
        <r>
          <rPr>
            <sz val="9"/>
            <color indexed="81"/>
            <rFont val="Tahoma"/>
            <family val="2"/>
          </rPr>
          <t>Complétez les lignes 29, 30, 31 et 32.</t>
        </r>
      </text>
    </comment>
    <comment ref="B29" authorId="1" shapeId="0">
      <text>
        <r>
          <rPr>
            <sz val="9"/>
            <color indexed="81"/>
            <rFont val="Tahoma"/>
            <family val="2"/>
          </rPr>
          <t>Solde des comptes 26 et 27.</t>
        </r>
      </text>
    </comment>
    <comment ref="F29" authorId="1" shapeId="0">
      <text>
        <r>
          <rPr>
            <sz val="9"/>
            <color indexed="81"/>
            <rFont val="Tahoma"/>
            <family val="2"/>
          </rPr>
          <t>Solde des comptes 280.</t>
        </r>
      </text>
    </comment>
    <comment ref="F30" authorId="1" shapeId="0">
      <text>
        <r>
          <rPr>
            <sz val="9"/>
            <color indexed="81"/>
            <rFont val="Tahoma"/>
            <family val="2"/>
          </rPr>
          <t>Solde des comptes 2813 et 2814.</t>
        </r>
      </text>
    </comment>
    <comment ref="B31" authorId="1" shapeId="0">
      <text>
        <r>
          <rPr>
            <sz val="9"/>
            <color indexed="81"/>
            <rFont val="Tahoma"/>
            <family val="2"/>
          </rPr>
          <t>Solde compte 48 (M22) ou 481 (M21).</t>
        </r>
      </text>
    </comment>
    <comment ref="F31" authorId="1" shapeId="0">
      <text>
        <r>
          <rPr>
            <sz val="9"/>
            <color indexed="81"/>
            <rFont val="Tahoma"/>
            <family val="2"/>
          </rPr>
          <t>Solde des comptes 2815.</t>
        </r>
      </text>
    </comment>
    <comment ref="F32" authorId="1" shapeId="0">
      <text>
        <r>
          <rPr>
            <sz val="9"/>
            <color indexed="81"/>
            <rFont val="Tahoma"/>
            <family val="2"/>
          </rPr>
          <t>Solde des comptes 28 (hors 280 ; 2813 ; 2814 ; 2815).</t>
        </r>
      </text>
    </comment>
    <comment ref="B33" authorId="1" shapeId="0">
      <text>
        <r>
          <rPr>
            <sz val="9"/>
            <color indexed="81"/>
            <rFont val="Tahoma"/>
            <family val="2"/>
          </rPr>
          <t>Solde du compte 1161 (M22).</t>
        </r>
      </text>
    </comment>
    <comment ref="F33" authorId="1" shapeId="0">
      <text>
        <r>
          <rPr>
            <sz val="9"/>
            <color indexed="81"/>
            <rFont val="Tahoma"/>
            <family val="2"/>
          </rPr>
          <t>Solde du compte 229.</t>
        </r>
      </text>
    </comment>
    <comment ref="F34" authorId="1" shapeId="0">
      <text>
        <r>
          <rPr>
            <sz val="9"/>
            <color indexed="81"/>
            <rFont val="Tahoma"/>
            <family val="2"/>
          </rPr>
          <t>Résultats non contrôlés ou non affectés par des tiers financeurs.</t>
        </r>
      </text>
    </comment>
    <comment ref="B35" authorId="1" shapeId="0">
      <text>
        <r>
          <rPr>
            <sz val="9"/>
            <color indexed="81"/>
            <rFont val="Tahoma"/>
            <family val="2"/>
          </rPr>
          <t>Solde débiteur des comptes 18 d'investissement.</t>
        </r>
      </text>
    </comment>
    <comment ref="F35" authorId="1" shapeId="0">
      <text>
        <r>
          <rPr>
            <sz val="9"/>
            <color indexed="81"/>
            <rFont val="Tahoma"/>
            <family val="2"/>
          </rPr>
          <t>Solde créditeur des comptes 18 d'investissement.</t>
        </r>
      </text>
    </comment>
    <comment ref="B41" authorId="1" shapeId="0">
      <text>
        <r>
          <rPr>
            <sz val="9"/>
            <color indexed="81"/>
            <rFont val="Tahoma"/>
            <family val="2"/>
          </rPr>
          <t xml:space="preserve">Solde du compte 119.
</t>
        </r>
        <r>
          <rPr>
            <i/>
            <sz val="9"/>
            <color indexed="81"/>
            <rFont val="Tahoma"/>
            <family val="2"/>
          </rPr>
          <t>Sous contrôle de tiers financeurs.</t>
        </r>
      </text>
    </comment>
    <comment ref="F41" authorId="1" shapeId="0">
      <text>
        <r>
          <rPr>
            <sz val="9"/>
            <color indexed="81"/>
            <rFont val="Tahoma"/>
            <family val="2"/>
          </rPr>
          <t>Solde des comptes 10685 (Réserve de trésorerie) et 141.</t>
        </r>
      </text>
    </comment>
    <comment ref="F42" authorId="1" shapeId="0">
      <text>
        <r>
          <rPr>
            <sz val="9"/>
            <color indexed="81"/>
            <rFont val="Tahoma"/>
            <family val="2"/>
          </rPr>
          <t>Solde créditeur des comptes 10686 (Réserve de compensation).</t>
        </r>
      </text>
    </comment>
    <comment ref="F43" authorId="1" shapeId="0">
      <text>
        <r>
          <rPr>
            <sz val="9"/>
            <color indexed="81"/>
            <rFont val="Tahoma"/>
            <family val="2"/>
          </rPr>
          <t xml:space="preserve">Solde créditeur du compte 12.
</t>
        </r>
        <r>
          <rPr>
            <i/>
            <sz val="9"/>
            <color indexed="81"/>
            <rFont val="Tahoma"/>
            <family val="2"/>
          </rPr>
          <t>Sous contrôle de tiers financeurs.</t>
        </r>
      </text>
    </comment>
    <comment ref="B44" authorId="1" shapeId="0">
      <text>
        <r>
          <rPr>
            <sz val="9"/>
            <color indexed="81"/>
            <rFont val="Tahoma"/>
            <family val="2"/>
          </rPr>
          <t xml:space="preserve">Solde débiteur du compte 12.
</t>
        </r>
        <r>
          <rPr>
            <i/>
            <sz val="9"/>
            <color indexed="81"/>
            <rFont val="Tahoma"/>
            <family val="2"/>
          </rPr>
          <t>Sous contrôle de tiers financeurs.</t>
        </r>
      </text>
    </comment>
    <comment ref="F44" authorId="1" shapeId="0">
      <text>
        <r>
          <rPr>
            <sz val="9"/>
            <color indexed="81"/>
            <rFont val="Tahoma"/>
            <family val="2"/>
          </rPr>
          <t xml:space="preserve">Solde créditeur des comptes 11 (hors 110 et 111).
</t>
        </r>
        <r>
          <rPr>
            <i/>
            <sz val="9"/>
            <color indexed="81"/>
            <rFont val="Tahoma"/>
            <family val="2"/>
          </rPr>
          <t>Sous contrôle de tiers financeurs.</t>
        </r>
      </text>
    </comment>
    <comment ref="F45" authorId="1" shapeId="0">
      <text>
        <r>
          <rPr>
            <sz val="9"/>
            <color indexed="81"/>
            <rFont val="Tahoma"/>
            <family val="2"/>
          </rPr>
          <t>Solde des comptes 110.</t>
        </r>
      </text>
    </comment>
    <comment ref="F46" authorId="1" shapeId="0">
      <text>
        <r>
          <rPr>
            <sz val="9"/>
            <color indexed="81"/>
            <rFont val="Tahoma"/>
            <family val="2"/>
          </rPr>
          <t>Solde des comptes 111.</t>
        </r>
      </text>
    </comment>
    <comment ref="F47" authorId="1" shapeId="0">
      <text>
        <r>
          <rPr>
            <sz val="9"/>
            <color indexed="81"/>
            <rFont val="Tahoma"/>
            <family val="2"/>
          </rPr>
          <t>Solde créditeur des comptes 15 (sauf 153 de la M21).</t>
        </r>
      </text>
    </comment>
    <comment ref="B48" authorId="1" shapeId="0">
      <text>
        <r>
          <rPr>
            <sz val="9"/>
            <color indexed="81"/>
            <rFont val="Tahoma"/>
            <family val="2"/>
          </rPr>
          <t>Solde du compte 1163 (M22) ou 153 (M21).</t>
        </r>
      </text>
    </comment>
    <comment ref="F48" authorId="1" shapeId="0">
      <text>
        <r>
          <rPr>
            <sz val="9"/>
            <color indexed="81"/>
            <rFont val="Tahoma"/>
            <family val="2"/>
          </rPr>
          <t>Solde des comptes 19 (seulement M21bis : établissements privés lucratifs).</t>
        </r>
      </text>
    </comment>
    <comment ref="B50" authorId="1" shapeId="0">
      <text>
        <r>
          <rPr>
            <sz val="9"/>
            <color indexed="81"/>
            <rFont val="Tahoma"/>
            <family val="2"/>
          </rPr>
          <t>Solde débiteur des comptes 18 classés en exploitation stable.</t>
        </r>
      </text>
    </comment>
    <comment ref="F50" authorId="1" shapeId="0">
      <text>
        <r>
          <rPr>
            <sz val="9"/>
            <color indexed="81"/>
            <rFont val="Tahoma"/>
            <family val="2"/>
          </rPr>
          <t>Solde créditeur des comptes 18 classés en exploitation stable.</t>
        </r>
      </text>
    </comment>
    <comment ref="B58" authorId="1" shapeId="0">
      <text>
        <r>
          <rPr>
            <sz val="9"/>
            <color indexed="81"/>
            <rFont val="Tahoma"/>
            <family val="2"/>
          </rPr>
          <t>Solde des comptes 3.</t>
        </r>
      </text>
    </comment>
    <comment ref="F58" authorId="1" shapeId="0">
      <text>
        <r>
          <rPr>
            <sz val="9"/>
            <color indexed="81"/>
            <rFont val="Tahoma"/>
            <family val="2"/>
          </rPr>
          <t>Solde des comptes 419.</t>
        </r>
      </text>
    </comment>
    <comment ref="B59" authorId="1" shapeId="0">
      <text>
        <r>
          <rPr>
            <sz val="9"/>
            <color indexed="81"/>
            <rFont val="Tahoma"/>
            <family val="2"/>
          </rPr>
          <t>Solde des comptes 409.</t>
        </r>
      </text>
    </comment>
    <comment ref="F59" authorId="1" shapeId="0">
      <text>
        <r>
          <rPr>
            <sz val="9"/>
            <color indexed="81"/>
            <rFont val="Tahoma"/>
            <family val="2"/>
          </rPr>
          <t>Solde créditeur des comptes 401 et 4081.</t>
        </r>
      </text>
    </comment>
    <comment ref="F60" authorId="1" shapeId="0">
      <text>
        <r>
          <rPr>
            <sz val="9"/>
            <color indexed="81"/>
            <rFont val="Tahoma"/>
            <family val="2"/>
          </rPr>
          <t>Solde créditeur des comptes 42, 43 et 44 (sauf 4282, 4382, 4482 et 4433).</t>
        </r>
      </text>
    </comment>
    <comment ref="B61" authorId="1" shapeId="0">
      <text>
        <r>
          <rPr>
            <sz val="9"/>
            <color indexed="81"/>
            <rFont val="Tahoma"/>
            <family val="2"/>
          </rPr>
          <t>Solde des comptes 411 ; 413 ; 416 ; 417 ; 418.</t>
        </r>
      </text>
    </comment>
    <comment ref="F61" authorId="1" shapeId="0">
      <text>
        <r>
          <rPr>
            <sz val="9"/>
            <color indexed="81"/>
            <rFont val="Tahoma"/>
            <family val="2"/>
          </rPr>
          <t>Solde des comptes 4282, 4382 et 4482.</t>
        </r>
      </text>
    </comment>
    <comment ref="B62" authorId="1" shapeId="0">
      <text>
        <r>
          <rPr>
            <sz val="9"/>
            <color indexed="81"/>
            <rFont val="Tahoma"/>
            <family val="2"/>
          </rPr>
          <t>Soldes des comptes 467 et 468.</t>
        </r>
      </text>
    </comment>
    <comment ref="F62" authorId="1" shapeId="0">
      <text>
        <r>
          <rPr>
            <sz val="9"/>
            <color indexed="81"/>
            <rFont val="Tahoma"/>
            <family val="2"/>
          </rPr>
          <t>Solde créditeur des comptes 466 à 468.</t>
        </r>
      </text>
    </comment>
    <comment ref="B63" authorId="1" shapeId="0">
      <text>
        <r>
          <rPr>
            <sz val="9"/>
            <color indexed="81"/>
            <rFont val="Tahoma"/>
            <family val="2"/>
          </rPr>
          <t>Solde des comptes 415 (que pour M21 et M22).</t>
        </r>
      </text>
    </comment>
    <comment ref="F63" authorId="1" shapeId="0">
      <text>
        <r>
          <rPr>
            <sz val="9"/>
            <color indexed="81"/>
            <rFont val="Tahoma"/>
            <family val="2"/>
          </rPr>
          <t>Solde des comptes 39 et 49.</t>
        </r>
      </text>
    </comment>
    <comment ref="B64" authorId="1" shapeId="0">
      <text>
        <r>
          <rPr>
            <sz val="9"/>
            <color indexed="81"/>
            <rFont val="Tahoma"/>
            <family val="2"/>
          </rPr>
          <t>Solde du compte 486.</t>
        </r>
      </text>
    </comment>
    <comment ref="F64" authorId="1" shapeId="0">
      <text>
        <r>
          <rPr>
            <sz val="9"/>
            <color indexed="81"/>
            <rFont val="Tahoma"/>
            <family val="2"/>
          </rPr>
          <t>Solde des comptes 487.</t>
        </r>
      </text>
    </comment>
    <comment ref="B65" authorId="1" shapeId="0">
      <text>
        <r>
          <rPr>
            <sz val="9"/>
            <color indexed="81"/>
            <rFont val="Tahoma"/>
            <family val="2"/>
          </rPr>
          <t>Solde du compte 1162 (Plan comptable général - M21bis) pour établissements privés.</t>
        </r>
      </text>
    </comment>
    <comment ref="F65" authorId="1" shapeId="0">
      <text>
        <r>
          <rPr>
            <sz val="9"/>
            <color indexed="81"/>
            <rFont val="Tahoma"/>
            <family val="2"/>
          </rPr>
          <t>Solde créditeur du compte 4433.</t>
        </r>
      </text>
    </comment>
    <comment ref="B66" authorId="1" shapeId="0">
      <text>
        <r>
          <rPr>
            <sz val="9"/>
            <color indexed="81"/>
            <rFont val="Tahoma"/>
            <family val="2"/>
          </rPr>
          <t xml:space="preserve">Possibilité d'y enregistrer le </t>
        </r>
        <r>
          <rPr>
            <b/>
            <sz val="9"/>
            <color indexed="81"/>
            <rFont val="Tahoma"/>
            <family val="2"/>
          </rPr>
          <t>solde débiteur du compte 472 (M21 et M22) et 478.</t>
        </r>
        <r>
          <rPr>
            <sz val="9"/>
            <color indexed="81"/>
            <rFont val="Tahoma"/>
            <family val="2"/>
          </rPr>
          <t xml:space="preserve">
Ou pour les </t>
        </r>
        <r>
          <rPr>
            <u/>
            <sz val="9"/>
            <color indexed="81"/>
            <rFont val="Tahoma"/>
            <family val="2"/>
          </rPr>
          <t>établissements privés</t>
        </r>
        <r>
          <rPr>
            <sz val="9"/>
            <color indexed="81"/>
            <rFont val="Tahoma"/>
            <family val="2"/>
          </rPr>
          <t xml:space="preserve"> (PCG), enregistrer le </t>
        </r>
        <r>
          <rPr>
            <b/>
            <sz val="9"/>
            <color indexed="81"/>
            <rFont val="Tahoma"/>
            <family val="2"/>
          </rPr>
          <t>solde des comptes 471 à 475 "Comptes d'attente"</t>
        </r>
        <r>
          <rPr>
            <sz val="9"/>
            <color indexed="81"/>
            <rFont val="Tahoma"/>
            <family val="2"/>
          </rPr>
          <t xml:space="preserve">.
On peut y ajouter tous les </t>
        </r>
        <r>
          <rPr>
            <b/>
            <sz val="9"/>
            <color indexed="81"/>
            <rFont val="Tahoma"/>
            <family val="2"/>
          </rPr>
          <t>autres postes de créances.</t>
        </r>
      </text>
    </comment>
    <comment ref="F66" authorId="1" shapeId="0">
      <text>
        <r>
          <rPr>
            <sz val="9"/>
            <color indexed="81"/>
            <rFont val="Tahoma"/>
            <family val="2"/>
          </rPr>
          <t>Solde des comptes 4632 et 4633.</t>
        </r>
      </text>
    </comment>
    <comment ref="F67" authorId="1" shapeId="0">
      <text>
        <r>
          <rPr>
            <sz val="8"/>
            <color indexed="81"/>
            <rFont val="Tahoma"/>
            <family val="2"/>
          </rPr>
          <t>Solde créditeur des comptes 47.</t>
        </r>
      </text>
    </comment>
    <comment ref="B68" authorId="1" shapeId="0">
      <text>
        <r>
          <rPr>
            <sz val="8"/>
            <color indexed="81"/>
            <rFont val="Tahoma"/>
            <family val="2"/>
          </rPr>
          <t>Solde débiteur des comptes 18 assimilables à des créances d'exploitation.</t>
        </r>
      </text>
    </comment>
    <comment ref="F68" authorId="1" shapeId="0">
      <text>
        <r>
          <rPr>
            <sz val="8"/>
            <color indexed="81"/>
            <rFont val="Tahoma"/>
            <family val="2"/>
          </rPr>
          <t>Solde créditeur  des comptes 18 assimilables à des dettes d'exploitation.</t>
        </r>
      </text>
    </comment>
    <comment ref="B75" authorId="1" shapeId="0">
      <text>
        <r>
          <rPr>
            <sz val="9"/>
            <color indexed="81"/>
            <rFont val="Tahoma"/>
            <family val="2"/>
          </rPr>
          <t>Solde des comptes 50 et 516.</t>
        </r>
      </text>
    </comment>
    <comment ref="F75" authorId="1" shapeId="0">
      <text>
        <r>
          <rPr>
            <sz val="9"/>
            <color indexed="81"/>
            <rFont val="Tahoma"/>
            <family val="2"/>
          </rPr>
          <t>Solde des comptes 404.</t>
        </r>
      </text>
    </comment>
    <comment ref="B76" authorId="1" shapeId="0">
      <text>
        <r>
          <rPr>
            <sz val="9"/>
            <color indexed="81"/>
            <rFont val="Tahoma"/>
            <family val="2"/>
          </rPr>
          <t>Solde débiteur des comptes 51 (sauf 516) à 54.</t>
        </r>
      </text>
    </comment>
    <comment ref="F76" authorId="1" shapeId="0">
      <text>
        <r>
          <rPr>
            <sz val="9"/>
            <color indexed="81"/>
            <rFont val="Tahoma"/>
            <family val="2"/>
          </rPr>
          <t>Solde des comptes 4631 et 4634.</t>
        </r>
      </text>
    </comment>
    <comment ref="B77" authorId="1" shapeId="0">
      <text>
        <r>
          <rPr>
            <sz val="9"/>
            <color indexed="81"/>
            <rFont val="Tahoma"/>
            <family val="2"/>
          </rPr>
          <t>Solde comptes 462.</t>
        </r>
      </text>
    </comment>
    <comment ref="F77" authorId="1" shapeId="0">
      <text>
        <r>
          <rPr>
            <sz val="9"/>
            <color indexed="81"/>
            <rFont val="Tahoma"/>
            <family val="2"/>
          </rPr>
          <t>Solde des comptes 519 (sauf 5193).</t>
        </r>
      </text>
    </comment>
    <comment ref="F78" authorId="1" shapeId="0">
      <text>
        <r>
          <rPr>
            <sz val="9"/>
            <color indexed="81"/>
            <rFont val="Tahoma"/>
            <family val="2"/>
          </rPr>
          <t>Solde des comptes 5193.</t>
        </r>
      </text>
    </comment>
    <comment ref="F79" authorId="1" shapeId="0">
      <text>
        <r>
          <rPr>
            <sz val="9"/>
            <color indexed="81"/>
            <rFont val="Tahoma"/>
            <family val="2"/>
          </rPr>
          <t>Solde des comptes 1688.</t>
        </r>
      </text>
    </comment>
    <comment ref="B80" authorId="1" shapeId="0">
      <text>
        <r>
          <rPr>
            <sz val="9"/>
            <color indexed="81"/>
            <rFont val="Tahoma"/>
            <family val="2"/>
          </rPr>
          <t>Solde débiteur des comptes 18 de trésorerie (court terme).</t>
        </r>
      </text>
    </comment>
    <comment ref="F80" authorId="1" shapeId="0">
      <text>
        <r>
          <rPr>
            <sz val="9"/>
            <color indexed="81"/>
            <rFont val="Tahoma"/>
            <family val="2"/>
          </rPr>
          <t>Solde créditeur des comptes 18 de trésorerie (court terme).</t>
        </r>
      </text>
    </comment>
  </commentList>
</comments>
</file>

<file path=xl/comments2.xml><?xml version="1.0" encoding="utf-8"?>
<comments xmlns="http://schemas.openxmlformats.org/spreadsheetml/2006/main">
  <authors>
    <author>Un utilisateur satisfait de Microsoft Office</author>
    <author>ENSP</author>
  </authors>
  <commentList>
    <comment ref="A67" authorId="0" shapeId="0">
      <text>
        <r>
          <rPr>
            <b/>
            <sz val="8"/>
            <color indexed="81"/>
            <rFont val="Tahoma"/>
            <family val="2"/>
          </rPr>
          <t>Réserve de trésorerie x 365 j / Charges décaissables</t>
        </r>
        <r>
          <rPr>
            <sz val="8"/>
            <color indexed="81"/>
            <rFont val="Tahoma"/>
            <family val="2"/>
          </rPr>
          <t xml:space="preserve">
Cette expression en jours de la réserve de trésorerie
permet une comparaison plus significative avec le besoin en fonds de roulement en jours.</t>
        </r>
      </text>
    </comment>
    <comment ref="A69" authorId="0" shapeId="0">
      <text>
        <r>
          <rPr>
            <b/>
            <sz val="8"/>
            <color indexed="81"/>
            <rFont val="Tahoma"/>
            <family val="2"/>
          </rPr>
          <t>Immobilisations brutes / nombre de lits ou places</t>
        </r>
        <r>
          <rPr>
            <sz val="8"/>
            <color indexed="81"/>
            <rFont val="Tahoma"/>
            <family val="2"/>
          </rPr>
          <t xml:space="preserve">
Ce ratio présente surtout un intérêt pour les </t>
        </r>
        <r>
          <rPr>
            <b/>
            <sz val="8"/>
            <color indexed="17"/>
            <rFont val="Tahoma"/>
            <family val="2"/>
          </rPr>
          <t xml:space="preserve">structures
"mono activité" </t>
        </r>
      </text>
    </comment>
    <comment ref="A70" authorId="0" shapeId="0">
      <text>
        <r>
          <rPr>
            <b/>
            <sz val="8"/>
            <color indexed="81"/>
            <rFont val="Tahoma"/>
            <family val="2"/>
          </rPr>
          <t xml:space="preserve">Dettes fiscales au bilan x 365 j/ Charges d'impôts et taxes </t>
        </r>
        <r>
          <rPr>
            <sz val="8"/>
            <color indexed="81"/>
            <rFont val="Tahoma"/>
            <family val="2"/>
          </rPr>
          <t>(comptes 631 et 633)</t>
        </r>
        <r>
          <rPr>
            <sz val="8"/>
            <color indexed="81"/>
            <rFont val="Tahoma"/>
            <family val="2"/>
          </rPr>
          <t xml:space="preserve">
Ratio exprimé en jours
devrait être </t>
        </r>
        <r>
          <rPr>
            <b/>
            <sz val="8"/>
            <color indexed="17"/>
            <rFont val="Tahoma"/>
            <family val="2"/>
          </rPr>
          <t>inférieur à 30 jours.</t>
        </r>
      </text>
    </comment>
    <comment ref="A71" authorId="1" shapeId="0">
      <text>
        <r>
          <rPr>
            <sz val="8"/>
            <color indexed="81"/>
            <rFont val="Tahoma"/>
            <family val="2"/>
          </rPr>
          <t xml:space="preserve">correspond à </t>
        </r>
        <r>
          <rPr>
            <b/>
            <sz val="8"/>
            <color indexed="81"/>
            <rFont val="Tahoma"/>
            <family val="2"/>
          </rPr>
          <t xml:space="preserve">l'autofinancement de l'établissement
</t>
        </r>
        <r>
          <rPr>
            <sz val="8"/>
            <color indexed="81"/>
            <rFont val="Tahoma"/>
            <family val="2"/>
          </rPr>
          <t xml:space="preserve">Principalement Résultat net + dotations aux amortissements
de l'année. </t>
        </r>
        <r>
          <rPr>
            <b/>
            <sz val="8"/>
            <color indexed="17"/>
            <rFont val="Tahoma"/>
            <family val="2"/>
          </rPr>
          <t>Doit toujours être positif</t>
        </r>
        <r>
          <rPr>
            <sz val="8"/>
            <color indexed="81"/>
            <rFont val="Tahoma"/>
            <family val="2"/>
          </rPr>
          <t xml:space="preserve">
Pas de norme; analyse de son évolution dans le temps.</t>
        </r>
      </text>
    </comment>
    <comment ref="A74" authorId="0" shapeId="0">
      <text>
        <r>
          <rPr>
            <b/>
            <sz val="8"/>
            <color indexed="81"/>
            <rFont val="Tahoma"/>
            <family val="2"/>
          </rPr>
          <t xml:space="preserve">liquidités X 365 / classe 6 brute </t>
        </r>
        <r>
          <rPr>
            <sz val="8"/>
            <color indexed="81"/>
            <rFont val="Tahoma"/>
            <family val="2"/>
          </rPr>
          <t xml:space="preserve">(sans déduction de produits)
Doit être ni trop élevé ni trop faible : </t>
        </r>
        <r>
          <rPr>
            <b/>
            <sz val="8"/>
            <color indexed="17"/>
            <rFont val="Tahoma"/>
            <family val="2"/>
          </rPr>
          <t>bon lorsque proche de 30 jours.</t>
        </r>
      </text>
    </comment>
    <comment ref="A75" authorId="0" shapeId="0">
      <text>
        <r>
          <rPr>
            <b/>
            <sz val="8"/>
            <color indexed="81"/>
            <rFont val="Tahoma"/>
            <family val="2"/>
          </rPr>
          <t>(Liquidités + valeurs mobilières de placement - lignes de trésorerie - découvert)  x 365 j / Charges décaissables</t>
        </r>
        <r>
          <rPr>
            <sz val="8"/>
            <color indexed="81"/>
            <rFont val="Tahoma"/>
            <family val="2"/>
          </rPr>
          <t xml:space="preserve">
Exprime la part en jours de la trésorerie  immédiatement disponible et mobilisable par l'établissement.</t>
        </r>
      </text>
    </comment>
    <comment ref="A76" authorId="0" shapeId="0">
      <text>
        <r>
          <rPr>
            <b/>
            <sz val="8"/>
            <color indexed="81"/>
            <rFont val="Tahoma"/>
            <family val="2"/>
          </rPr>
          <t xml:space="preserve">créances + liquidités / dettes à court terme.
</t>
        </r>
        <r>
          <rPr>
            <b/>
            <sz val="8"/>
            <color indexed="17"/>
            <rFont val="Tahoma"/>
            <family val="2"/>
          </rPr>
          <t xml:space="preserve">Doit être supérieur à 1
</t>
        </r>
        <r>
          <rPr>
            <sz val="8"/>
            <color indexed="81"/>
            <rFont val="Tahoma"/>
            <family val="2"/>
          </rPr>
          <t>Les créances et les disponibilités doivent plus que 
couvrir les dettes à court terme</t>
        </r>
      </text>
    </comment>
  </commentList>
</comments>
</file>

<file path=xl/comments3.xml><?xml version="1.0" encoding="utf-8"?>
<comments xmlns="http://schemas.openxmlformats.org/spreadsheetml/2006/main">
  <authors>
    <author>MARS2</author>
  </authors>
  <commentList>
    <comment ref="I14" authorId="0" shapeId="0">
      <text>
        <r>
          <rPr>
            <b/>
            <sz val="9"/>
            <color indexed="81"/>
            <rFont val="Tahoma"/>
            <family val="2"/>
          </rPr>
          <t>MARS2:</t>
        </r>
        <r>
          <rPr>
            <sz val="9"/>
            <color indexed="81"/>
            <rFont val="Tahoma"/>
            <family val="2"/>
          </rPr>
          <t xml:space="preserve">
Se calcule automatiquement.</t>
        </r>
      </text>
    </comment>
    <comment ref="L14" authorId="0" shapeId="0">
      <text>
        <r>
          <rPr>
            <b/>
            <sz val="10"/>
            <color indexed="81"/>
            <rFont val="Tahoma"/>
            <family val="2"/>
          </rPr>
          <t xml:space="preserve">LaMARS :
</t>
        </r>
        <r>
          <rPr>
            <i/>
            <u/>
            <sz val="10"/>
            <color indexed="81"/>
            <rFont val="Tahoma"/>
            <family val="2"/>
          </rPr>
          <t>RENSEIGNEMENT AUTOMATIQUE</t>
        </r>
        <r>
          <rPr>
            <sz val="10"/>
            <color indexed="81"/>
            <rFont val="Tahoma"/>
            <family val="2"/>
          </rPr>
          <t xml:space="preserve">
Si c'est un bâtiment, la mise en service a lieu généralement une année après l'acquistion.
Pour le matériel et équipement, la mise en service intervient dès l'acquisition.</t>
        </r>
      </text>
    </comment>
    <comment ref="Q14" authorId="0" shapeId="0">
      <text>
        <r>
          <rPr>
            <b/>
            <sz val="8"/>
            <color indexed="81"/>
            <rFont val="Tahoma"/>
            <family val="2"/>
          </rPr>
          <t xml:space="preserve">LaMARS
</t>
        </r>
        <r>
          <rPr>
            <sz val="10"/>
            <color indexed="81"/>
            <rFont val="Tahoma"/>
            <family val="2"/>
          </rPr>
          <t>Cliquez ici pour accéder aux durées d'amortissement proposées à titre indicatif.</t>
        </r>
      </text>
    </comment>
    <comment ref="S14" authorId="0" shapeId="0">
      <text>
        <r>
          <rPr>
            <b/>
            <sz val="9"/>
            <color indexed="81"/>
            <rFont val="Tahoma"/>
            <family val="2"/>
          </rPr>
          <t>LaMARS</t>
        </r>
        <r>
          <rPr>
            <sz val="9"/>
            <color indexed="81"/>
            <rFont val="Tahoma"/>
            <family val="2"/>
          </rPr>
          <t xml:space="preserve">
Se calculent automatiquement.</t>
        </r>
      </text>
    </comment>
    <comment ref="I504" authorId="0" shapeId="0">
      <text>
        <r>
          <rPr>
            <b/>
            <sz val="9"/>
            <color indexed="81"/>
            <rFont val="Tahoma"/>
            <family val="2"/>
          </rPr>
          <t>LaMARS :</t>
        </r>
        <r>
          <rPr>
            <sz val="9"/>
            <color indexed="81"/>
            <rFont val="Tahoma"/>
            <family val="2"/>
          </rPr>
          <t xml:space="preserve">
Se calcule automatiquement.</t>
        </r>
      </text>
    </comment>
    <comment ref="L504" authorId="0" shapeId="0">
      <text>
        <r>
          <rPr>
            <b/>
            <sz val="10"/>
            <color indexed="81"/>
            <rFont val="Tahoma"/>
            <family val="2"/>
          </rPr>
          <t xml:space="preserve">LaMARS :
</t>
        </r>
        <r>
          <rPr>
            <i/>
            <u/>
            <sz val="10"/>
            <color indexed="81"/>
            <rFont val="Tahoma"/>
            <family val="2"/>
          </rPr>
          <t xml:space="preserve">RENSEIGNEMENT AUTOMATIQUE
</t>
        </r>
        <r>
          <rPr>
            <sz val="10"/>
            <color indexed="81"/>
            <rFont val="Tahoma"/>
            <family val="2"/>
          </rPr>
          <t>Si c'est un bâtiment, la mise en service a lieu généralement une année après l'acquistion.
Pour le matériel et équipement, la mise en service intervient dès l'acquisition.</t>
        </r>
      </text>
    </comment>
    <comment ref="Q504" authorId="0" shapeId="0">
      <text>
        <r>
          <rPr>
            <b/>
            <sz val="8"/>
            <color indexed="81"/>
            <rFont val="Tahoma"/>
            <family val="2"/>
          </rPr>
          <t xml:space="preserve">LaMARS
</t>
        </r>
        <r>
          <rPr>
            <sz val="10"/>
            <color indexed="81"/>
            <rFont val="Tahoma"/>
            <family val="2"/>
          </rPr>
          <t>Cliquez ici pour accéder aux durées d'amortissement proposées à titre indicatif.</t>
        </r>
      </text>
    </comment>
    <comment ref="S504" authorId="0" shapeId="0">
      <text>
        <r>
          <rPr>
            <b/>
            <sz val="9"/>
            <color indexed="81"/>
            <rFont val="Tahoma"/>
            <family val="2"/>
          </rPr>
          <t>LaMARS</t>
        </r>
        <r>
          <rPr>
            <sz val="9"/>
            <color indexed="81"/>
            <rFont val="Tahoma"/>
            <family val="2"/>
          </rPr>
          <t xml:space="preserve">
Se calculent automatiquement.</t>
        </r>
      </text>
    </comment>
    <comment ref="AL504" authorId="0" shapeId="0">
      <text>
        <r>
          <rPr>
            <b/>
            <sz val="9"/>
            <color indexed="81"/>
            <rFont val="Tahoma"/>
            <family val="2"/>
          </rPr>
          <t>LaMARS</t>
        </r>
        <r>
          <rPr>
            <sz val="9"/>
            <color indexed="81"/>
            <rFont val="Tahoma"/>
            <family val="2"/>
          </rPr>
          <t xml:space="preserve">
Se calculent automatiquement.</t>
        </r>
      </text>
    </comment>
  </commentList>
</comments>
</file>

<file path=xl/comments4.xml><?xml version="1.0" encoding="utf-8"?>
<comments xmlns="http://schemas.openxmlformats.org/spreadsheetml/2006/main">
  <authors>
    <author>MARS2</author>
  </authors>
  <commentList>
    <comment ref="B23" authorId="0" shapeId="0">
      <text>
        <r>
          <rPr>
            <b/>
            <sz val="9"/>
            <color indexed="81"/>
            <rFont val="Tahoma"/>
            <family val="2"/>
          </rPr>
          <t>LaMARS :</t>
        </r>
        <r>
          <rPr>
            <b/>
            <sz val="10"/>
            <color indexed="81"/>
            <rFont val="Tahoma"/>
            <family val="2"/>
          </rPr>
          <t xml:space="preserve">
</t>
        </r>
        <r>
          <rPr>
            <sz val="10"/>
            <color indexed="81"/>
            <rFont val="Tahoma"/>
            <family val="2"/>
          </rPr>
          <t>Renseignez le montant des nouveaux emprunts souscrits.</t>
        </r>
      </text>
    </comment>
    <comment ref="B26" authorId="0" shapeId="0">
      <text>
        <r>
          <rPr>
            <b/>
            <sz val="9"/>
            <color indexed="81"/>
            <rFont val="Tahoma"/>
            <family val="2"/>
          </rPr>
          <t>LaMARS :</t>
        </r>
        <r>
          <rPr>
            <sz val="8"/>
            <color indexed="81"/>
            <rFont val="Tahoma"/>
            <family val="2"/>
          </rPr>
          <t xml:space="preserve">
</t>
        </r>
        <r>
          <rPr>
            <sz val="10"/>
            <color indexed="81"/>
            <rFont val="Tahoma"/>
            <family val="2"/>
          </rPr>
          <t>Ligne 26, le total des amortissements se calculent automatiquement.
Lignes 27 à 30, les données sont implémentées grâce aux informations précédemment complétées dans l'onglet PPI.</t>
        </r>
      </text>
    </comment>
    <comment ref="B33" authorId="0" shapeId="0">
      <text>
        <r>
          <rPr>
            <b/>
            <sz val="9"/>
            <color indexed="81"/>
            <rFont val="Tahoma"/>
            <family val="2"/>
          </rPr>
          <t>LaMARS</t>
        </r>
        <r>
          <rPr>
            <sz val="9"/>
            <color indexed="81"/>
            <rFont val="Tahoma"/>
            <family val="2"/>
          </rPr>
          <t xml:space="preserve">
</t>
        </r>
        <r>
          <rPr>
            <sz val="10"/>
            <color indexed="81"/>
            <rFont val="Tahoma"/>
            <family val="2"/>
          </rPr>
          <t xml:space="preserve">Les lignes de </t>
        </r>
        <r>
          <rPr>
            <b/>
            <sz val="10"/>
            <color indexed="81"/>
            <rFont val="Tahoma"/>
            <family val="2"/>
          </rPr>
          <t>totaux</t>
        </r>
        <r>
          <rPr>
            <sz val="10"/>
            <color indexed="81"/>
            <rFont val="Tahoma"/>
            <family val="2"/>
          </rPr>
          <t xml:space="preserve"> se calculent </t>
        </r>
        <r>
          <rPr>
            <u/>
            <sz val="10"/>
            <color indexed="81"/>
            <rFont val="Tahoma"/>
            <family val="2"/>
          </rPr>
          <t>automatiquement</t>
        </r>
        <r>
          <rPr>
            <sz val="10"/>
            <color indexed="81"/>
            <rFont val="Tahoma"/>
            <family val="2"/>
          </rPr>
          <t>.</t>
        </r>
      </text>
    </comment>
    <comment ref="B39" authorId="0" shapeId="0">
      <text>
        <r>
          <rPr>
            <b/>
            <sz val="9"/>
            <color indexed="81"/>
            <rFont val="Tahoma"/>
            <family val="2"/>
          </rPr>
          <t>LaMARS :</t>
        </r>
        <r>
          <rPr>
            <sz val="9"/>
            <color indexed="81"/>
            <rFont val="Tahoma"/>
            <family val="2"/>
          </rPr>
          <t xml:space="preserve">
</t>
        </r>
        <r>
          <rPr>
            <sz val="10"/>
            <color indexed="81"/>
            <rFont val="Tahoma"/>
            <family val="2"/>
          </rPr>
          <t>Montant du capital remboursé dans l'année, soit le montant de l'amortissement de l'année.</t>
        </r>
      </text>
    </comment>
    <comment ref="B40" authorId="0" shapeId="0">
      <text>
        <r>
          <rPr>
            <b/>
            <sz val="9"/>
            <color indexed="81"/>
            <rFont val="Tahoma"/>
            <family val="2"/>
          </rPr>
          <t xml:space="preserve">LaMARS :
</t>
        </r>
        <r>
          <rPr>
            <sz val="10"/>
            <color indexed="81"/>
            <rFont val="Tahoma"/>
            <family val="2"/>
          </rPr>
          <t>Ligne 40, le total des investissements se calcule automatiquement.</t>
        </r>
        <r>
          <rPr>
            <b/>
            <sz val="10"/>
            <color indexed="81"/>
            <rFont val="Tahoma"/>
            <family val="2"/>
          </rPr>
          <t xml:space="preserve">
</t>
        </r>
        <r>
          <rPr>
            <sz val="10"/>
            <color indexed="81"/>
            <rFont val="Tahoma"/>
            <family val="2"/>
          </rPr>
          <t>Lignes 41 à 45, les données sont implémentées grâce aux informations précédemment complétées dans l'onglet PPI.</t>
        </r>
      </text>
    </comment>
    <comment ref="B48" authorId="0" shapeId="0">
      <text>
        <r>
          <rPr>
            <b/>
            <sz val="9"/>
            <color indexed="81"/>
            <rFont val="Tahoma"/>
            <family val="2"/>
          </rPr>
          <t xml:space="preserve">LaMARS :
</t>
        </r>
        <r>
          <rPr>
            <sz val="10"/>
            <color indexed="81"/>
            <rFont val="Tahoma"/>
            <family val="2"/>
          </rPr>
          <t xml:space="preserve">Les lignes de </t>
        </r>
        <r>
          <rPr>
            <b/>
            <sz val="10"/>
            <color indexed="81"/>
            <rFont val="Tahoma"/>
            <family val="2"/>
          </rPr>
          <t xml:space="preserve">totaux </t>
        </r>
        <r>
          <rPr>
            <sz val="10"/>
            <color indexed="81"/>
            <rFont val="Tahoma"/>
            <family val="2"/>
          </rPr>
          <t xml:space="preserve">se calculent </t>
        </r>
        <r>
          <rPr>
            <u/>
            <sz val="10"/>
            <color indexed="81"/>
            <rFont val="Tahoma"/>
            <family val="2"/>
          </rPr>
          <t>automatiquement</t>
        </r>
        <r>
          <rPr>
            <sz val="10"/>
            <color indexed="81"/>
            <rFont val="Tahoma"/>
            <family val="2"/>
          </rPr>
          <t>.</t>
        </r>
      </text>
    </comment>
    <comment ref="B59" authorId="0" shapeId="0">
      <text>
        <r>
          <rPr>
            <b/>
            <sz val="9"/>
            <color indexed="81"/>
            <rFont val="Tahoma"/>
            <family val="2"/>
          </rPr>
          <t xml:space="preserve">LaMARS :
</t>
        </r>
        <r>
          <rPr>
            <sz val="10"/>
            <color indexed="81"/>
            <rFont val="Tahoma"/>
            <family val="2"/>
          </rPr>
          <t xml:space="preserve">Les lignes de </t>
        </r>
        <r>
          <rPr>
            <b/>
            <sz val="10"/>
            <color indexed="81"/>
            <rFont val="Tahoma"/>
            <family val="2"/>
          </rPr>
          <t>totaux</t>
        </r>
        <r>
          <rPr>
            <sz val="10"/>
            <color indexed="81"/>
            <rFont val="Tahoma"/>
            <family val="2"/>
          </rPr>
          <t xml:space="preserve"> se calculent </t>
        </r>
        <r>
          <rPr>
            <u/>
            <sz val="10"/>
            <color indexed="81"/>
            <rFont val="Tahoma"/>
            <family val="2"/>
          </rPr>
          <t>automatiquement</t>
        </r>
        <r>
          <rPr>
            <sz val="10"/>
            <color indexed="81"/>
            <rFont val="Tahoma"/>
            <family val="2"/>
          </rPr>
          <t>.</t>
        </r>
      </text>
    </comment>
    <comment ref="B70" authorId="0" shapeId="0">
      <text>
        <r>
          <rPr>
            <b/>
            <sz val="9"/>
            <color indexed="81"/>
            <rFont val="Tahoma"/>
            <family val="2"/>
          </rPr>
          <t xml:space="preserve">LaMARS :
</t>
        </r>
        <r>
          <rPr>
            <sz val="10"/>
            <color indexed="81"/>
            <rFont val="Tahoma"/>
            <family val="2"/>
          </rPr>
          <t>Les lignes de</t>
        </r>
        <r>
          <rPr>
            <b/>
            <sz val="10"/>
            <color indexed="81"/>
            <rFont val="Tahoma"/>
            <family val="2"/>
          </rPr>
          <t xml:space="preserve"> totaux</t>
        </r>
        <r>
          <rPr>
            <sz val="10"/>
            <color indexed="81"/>
            <rFont val="Tahoma"/>
            <family val="2"/>
          </rPr>
          <t xml:space="preserve"> se calculent </t>
        </r>
        <r>
          <rPr>
            <u/>
            <sz val="10"/>
            <color indexed="81"/>
            <rFont val="Tahoma"/>
            <family val="2"/>
          </rPr>
          <t>automatiquement</t>
        </r>
        <r>
          <rPr>
            <sz val="10"/>
            <color indexed="81"/>
            <rFont val="Tahoma"/>
            <family val="2"/>
          </rPr>
          <t>.</t>
        </r>
      </text>
    </comment>
    <comment ref="B84" authorId="0" shapeId="0">
      <text>
        <r>
          <rPr>
            <b/>
            <sz val="9"/>
            <color indexed="81"/>
            <rFont val="Tahoma"/>
            <family val="2"/>
          </rPr>
          <t xml:space="preserve">LaMARS :
</t>
        </r>
        <r>
          <rPr>
            <sz val="10"/>
            <color indexed="81"/>
            <rFont val="Tahoma"/>
            <family val="2"/>
          </rPr>
          <t xml:space="preserve">Les lignes de </t>
        </r>
        <r>
          <rPr>
            <b/>
            <sz val="10"/>
            <color indexed="81"/>
            <rFont val="Tahoma"/>
            <family val="2"/>
          </rPr>
          <t xml:space="preserve">totaux </t>
        </r>
        <r>
          <rPr>
            <sz val="10"/>
            <color indexed="81"/>
            <rFont val="Tahoma"/>
            <family val="2"/>
          </rPr>
          <t xml:space="preserve">se calculent </t>
        </r>
        <r>
          <rPr>
            <u/>
            <sz val="10"/>
            <color indexed="81"/>
            <rFont val="Tahoma"/>
            <family val="2"/>
          </rPr>
          <t>automatiquement</t>
        </r>
        <r>
          <rPr>
            <sz val="10"/>
            <color indexed="81"/>
            <rFont val="Tahoma"/>
            <family val="2"/>
          </rPr>
          <t>.</t>
        </r>
      </text>
    </comment>
    <comment ref="B92" authorId="0" shapeId="0">
      <text>
        <r>
          <rPr>
            <b/>
            <sz val="9"/>
            <color indexed="81"/>
            <rFont val="Tahoma"/>
            <family val="2"/>
          </rPr>
          <t xml:space="preserve">LaMARS :
</t>
        </r>
        <r>
          <rPr>
            <sz val="10"/>
            <color indexed="81"/>
            <rFont val="Tahoma"/>
            <family val="2"/>
          </rPr>
          <t xml:space="preserve">Les lignes de </t>
        </r>
        <r>
          <rPr>
            <b/>
            <sz val="10"/>
            <color indexed="81"/>
            <rFont val="Tahoma"/>
            <family val="2"/>
          </rPr>
          <t xml:space="preserve">totaux </t>
        </r>
        <r>
          <rPr>
            <sz val="10"/>
            <color indexed="81"/>
            <rFont val="Tahoma"/>
            <family val="2"/>
          </rPr>
          <t xml:space="preserve">se calculent </t>
        </r>
        <r>
          <rPr>
            <u/>
            <sz val="10"/>
            <color indexed="81"/>
            <rFont val="Tahoma"/>
            <family val="2"/>
          </rPr>
          <t>automatiquement</t>
        </r>
        <r>
          <rPr>
            <sz val="10"/>
            <color indexed="81"/>
            <rFont val="Tahoma"/>
            <family val="2"/>
          </rPr>
          <t>.</t>
        </r>
      </text>
    </comment>
  </commentList>
</comments>
</file>

<file path=xl/comments5.xml><?xml version="1.0" encoding="utf-8"?>
<comments xmlns="http://schemas.openxmlformats.org/spreadsheetml/2006/main">
  <authors>
    <author>MARS2</author>
  </authors>
  <commentList>
    <comment ref="B18" authorId="0" shapeId="0">
      <text>
        <r>
          <rPr>
            <b/>
            <sz val="9"/>
            <color indexed="81"/>
            <rFont val="Tahoma"/>
            <family val="2"/>
          </rPr>
          <t>LaMARS :</t>
        </r>
        <r>
          <rPr>
            <sz val="9"/>
            <color indexed="81"/>
            <rFont val="Tahoma"/>
            <family val="2"/>
          </rPr>
          <t xml:space="preserve">
</t>
        </r>
        <r>
          <rPr>
            <sz val="8"/>
            <color indexed="81"/>
            <rFont val="Tahoma"/>
            <family val="2"/>
          </rPr>
          <t>Renseignez le montant des intérêts des nouveaux emprunts (onglet AIDE-simulation emprunt).</t>
        </r>
      </text>
    </comment>
    <comment ref="B19" authorId="0" shapeId="0">
      <text>
        <r>
          <rPr>
            <b/>
            <sz val="9"/>
            <color indexed="81"/>
            <rFont val="Tahoma"/>
            <family val="2"/>
          </rPr>
          <t xml:space="preserve">LaMARS :
</t>
        </r>
        <r>
          <rPr>
            <sz val="8"/>
            <color indexed="81"/>
            <rFont val="Tahoma"/>
            <family val="2"/>
          </rPr>
          <t>Données pré-implémentées grâce au PPI.</t>
        </r>
      </text>
    </comment>
    <comment ref="N20" authorId="0" shapeId="0">
      <text>
        <r>
          <rPr>
            <b/>
            <sz val="9"/>
            <color indexed="81"/>
            <rFont val="Tahoma"/>
            <family val="2"/>
          </rPr>
          <t>LaMARS :</t>
        </r>
        <r>
          <rPr>
            <sz val="9"/>
            <color indexed="81"/>
            <rFont val="Tahoma"/>
            <family val="2"/>
          </rPr>
          <t xml:space="preserve">
</t>
        </r>
        <r>
          <rPr>
            <sz val="8"/>
            <color indexed="81"/>
            <rFont val="Tahoma"/>
            <family val="2"/>
          </rPr>
          <t>Renseignez le montant des intérêts des nouveaux emprunts (onglet AIDE-simulation emprunt).</t>
        </r>
      </text>
    </comment>
    <comment ref="N21" authorId="0" shapeId="0">
      <text>
        <r>
          <rPr>
            <b/>
            <sz val="9"/>
            <color indexed="81"/>
            <rFont val="Tahoma"/>
            <family val="2"/>
          </rPr>
          <t xml:space="preserve">LaMARS :
</t>
        </r>
        <r>
          <rPr>
            <sz val="8"/>
            <color indexed="81"/>
            <rFont val="Tahoma"/>
            <family val="2"/>
          </rPr>
          <t>Données pré-implémentées grâce au PPI.</t>
        </r>
      </text>
    </comment>
  </commentList>
</comments>
</file>

<file path=xl/comments6.xml><?xml version="1.0" encoding="utf-8"?>
<comments xmlns="http://schemas.openxmlformats.org/spreadsheetml/2006/main">
  <authors>
    <author>CIFO</author>
    <author>MARS2</author>
  </authors>
  <commentList>
    <comment ref="B7" authorId="0" shapeId="0">
      <text>
        <r>
          <rPr>
            <sz val="8"/>
            <color indexed="81"/>
            <rFont val="Tahoma"/>
            <family val="2"/>
          </rPr>
          <t xml:space="preserve">Il s'agit de la dotation aux amortissements des immobilisations et des charges à répartir de l'année antérieure à celle indiquée cellule D5 qui sert de base au calcul des surcoûts.
Exemple a = 100000
Cette donnée reste constante sur toute la durée du programme (il convient de la répéter en cellule D7, E7, F7...
</t>
        </r>
      </text>
    </comment>
    <comment ref="B9" authorId="0" shapeId="0">
      <text>
        <r>
          <rPr>
            <sz val="8"/>
            <color indexed="81"/>
            <rFont val="Tahoma"/>
            <family val="2"/>
          </rPr>
          <t xml:space="preserve">Il s'agit des dotations aux amortissements induites annuellement par les nouvelles acquisitions d'immobilisations au cours de la durée du programme. </t>
        </r>
      </text>
    </comment>
    <comment ref="B12" authorId="1" shapeId="0">
      <text>
        <r>
          <rPr>
            <sz val="9"/>
            <color indexed="81"/>
            <rFont val="Tahoma"/>
            <family val="2"/>
          </rPr>
          <t xml:space="preserve">Il s'agit des frais financiers liés aux emprunts de l'année antérieure à celle indiquée cellule D5 qui sert de base au calcul des surcoûts. 
Exemple b = 10000
Cette donnée reste constante sur toute la durée du programme (il convient de la répéter en cellule D12, E12, F12...
</t>
        </r>
      </text>
    </comment>
    <comment ref="B14" authorId="0" shapeId="0">
      <text>
        <r>
          <rPr>
            <sz val="8"/>
            <color indexed="81"/>
            <rFont val="Tahoma"/>
            <family val="2"/>
          </rPr>
          <t>Il s'agit des frais financiers induits annuellement par les emprunts nouveaux contractés en cours de réalisation du programme. </t>
        </r>
      </text>
    </comment>
  </commentList>
</comments>
</file>

<file path=xl/comments7.xml><?xml version="1.0" encoding="utf-8"?>
<comments xmlns="http://schemas.openxmlformats.org/spreadsheetml/2006/main">
  <authors>
    <author>MARS2</author>
  </authors>
  <commentList>
    <comment ref="B70" authorId="0" shapeId="0">
      <text>
        <r>
          <rPr>
            <b/>
            <sz val="8"/>
            <color indexed="81"/>
            <rFont val="Tahoma"/>
            <family val="2"/>
          </rPr>
          <t xml:space="preserve">LaMARS
</t>
        </r>
        <r>
          <rPr>
            <u/>
            <sz val="8"/>
            <color indexed="81"/>
            <rFont val="Tahoma"/>
            <family val="2"/>
          </rPr>
          <t>Tableau de bord ANAP</t>
        </r>
        <r>
          <rPr>
            <sz val="8"/>
            <color indexed="81"/>
            <rFont val="Tahoma"/>
            <family val="2"/>
          </rPr>
          <t xml:space="preserve"> :
Indicateur 2Fi.3.1 - Répartition des recettes par groupe/titre
Indicateur 2Fi.3.2. - Répartition des dépenses par groupe/titre</t>
        </r>
        <r>
          <rPr>
            <b/>
            <sz val="8"/>
            <color indexed="81"/>
            <rFont val="Tahoma"/>
            <family val="2"/>
          </rPr>
          <t xml:space="preserve">
</t>
        </r>
      </text>
    </comment>
    <comment ref="B85" authorId="0" shapeId="0">
      <text>
        <r>
          <rPr>
            <b/>
            <sz val="8"/>
            <color indexed="81"/>
            <rFont val="Tahoma"/>
            <family val="2"/>
          </rPr>
          <t>LaMARS</t>
        </r>
        <r>
          <rPr>
            <sz val="8"/>
            <color indexed="81"/>
            <rFont val="Tahoma"/>
            <family val="2"/>
          </rPr>
          <t xml:space="preserve">
</t>
        </r>
        <r>
          <rPr>
            <u/>
            <sz val="8"/>
            <color indexed="81"/>
            <rFont val="Tahoma"/>
            <family val="2"/>
          </rPr>
          <t>Tableau de bord ANAP</t>
        </r>
        <r>
          <rPr>
            <sz val="8"/>
            <color indexed="81"/>
            <rFont val="Tahoma"/>
            <family val="2"/>
          </rPr>
          <t xml:space="preserve"> :
Indicateur 2Fi.3.1 - Répartition des recettes par groupe/titre
Indicateur 2Fi.3.2. - Répartition des dépenses par groupe/titre</t>
        </r>
      </text>
    </comment>
  </commentList>
</comments>
</file>

<file path=xl/sharedStrings.xml><?xml version="1.0" encoding="utf-8"?>
<sst xmlns="http://schemas.openxmlformats.org/spreadsheetml/2006/main" count="6876" uniqueCount="2206">
  <si>
    <t>Ratios</t>
  </si>
  <si>
    <t>Groupe de ratios</t>
  </si>
  <si>
    <t>Mode de calcul</t>
  </si>
  <si>
    <t>Rotation des créances d'exploitation</t>
  </si>
  <si>
    <t>Rotation des dettes d'exploitation</t>
  </si>
  <si>
    <t>Rotation dettes sociales et fiscales</t>
  </si>
  <si>
    <t>Valeur technique de la place</t>
  </si>
  <si>
    <t>Capacité d'autofinancement</t>
  </si>
  <si>
    <t>Rotation des stocks</t>
  </si>
  <si>
    <t>Trésorerie en jours d'exploitation</t>
  </si>
  <si>
    <t>Liquidités en jours d'exploitation</t>
  </si>
  <si>
    <t>Apurement de la dette</t>
  </si>
  <si>
    <t>Durée apparente de la dette</t>
  </si>
  <si>
    <t>Vétusté des immobilisations
*Constructions
*Installations techniques, matériel, outillage
*Autres</t>
  </si>
  <si>
    <t>Sources</t>
  </si>
  <si>
    <t>ANADES</t>
  </si>
  <si>
    <t>Analyse/Interprétation</t>
  </si>
  <si>
    <t>de Structure financière</t>
  </si>
  <si>
    <t>de Rentabilité</t>
  </si>
  <si>
    <t>de Liquidité et de Trésorerie</t>
  </si>
  <si>
    <t>Comptes utilisés (nomenclature M22)</t>
  </si>
  <si>
    <r>
      <rPr>
        <b/>
        <u/>
        <sz val="10"/>
        <color indexed="8"/>
        <rFont val="Calibri"/>
        <family val="2"/>
      </rPr>
      <t>Interprétation</t>
    </r>
    <r>
      <rPr>
        <sz val="10"/>
        <color indexed="8"/>
        <rFont val="Calibri"/>
        <family val="2"/>
      </rPr>
      <t xml:space="preserve"> : Le taux d'indépendance financière permet de mesurer le poids de l'endettement (dettes envers des établissements de crédit) dans l'ensemble des ressources stables ou capitaux permanents (haut de bilan du passif). Son appelation porte à confusion, mais c'est bien la </t>
    </r>
    <r>
      <rPr>
        <u/>
        <sz val="10"/>
        <color indexed="8"/>
        <rFont val="Calibri"/>
        <family val="2"/>
      </rPr>
      <t>dépendance financière</t>
    </r>
    <r>
      <rPr>
        <sz val="10"/>
        <color indexed="8"/>
        <rFont val="Calibri"/>
        <family val="2"/>
      </rPr>
      <t xml:space="preserve"> que l'on va calculer.
/!\ </t>
    </r>
    <r>
      <rPr>
        <sz val="10"/>
        <color indexed="10"/>
        <rFont val="Calibri"/>
        <family val="2"/>
      </rPr>
      <t>Au delà de 50%</t>
    </r>
    <r>
      <rPr>
        <sz val="10"/>
        <color indexed="8"/>
        <rFont val="Calibri"/>
        <family val="2"/>
      </rPr>
      <t xml:space="preserve">, l'établissement devient trop fortement dépendant des établissements de crédit.
</t>
    </r>
    <r>
      <rPr>
        <b/>
        <i/>
        <u val="double"/>
        <sz val="10"/>
        <color indexed="8"/>
        <rFont val="Calibri"/>
        <family val="2"/>
      </rPr>
      <t>Exemple</t>
    </r>
    <r>
      <rPr>
        <i/>
        <sz val="10"/>
        <color indexed="8"/>
        <rFont val="Calibri"/>
        <family val="2"/>
      </rPr>
      <t xml:space="preserve"> d'un taux d'indépendance financière de 45%  =  45% des capitaux permanents de la structure sont financés grâce à un emprunt.</t>
    </r>
  </si>
  <si>
    <t>Endettement (plus communément : Indépendance finance)</t>
  </si>
  <si>
    <r>
      <rPr>
        <sz val="10"/>
        <color indexed="8"/>
        <rFont val="Calibri"/>
        <family val="2"/>
      </rPr>
      <t>Soldes créditeurs des comptes 16 (sauf 1688 - Intérêts courus) / Crédits moins débits des comptes 15, 28, 29, 39, 49 et 59</t>
    </r>
    <r>
      <rPr>
        <b/>
        <sz val="10"/>
        <color indexed="8"/>
        <rFont val="Calibri"/>
        <family val="2"/>
      </rPr>
      <t xml:space="preserve">
C'est le rapport entre le Total de l'encours de la dette, et le Montant net des provisions et des amortissements réalisés au cours de l'exercice (soit l'autofinancement au sens financier).</t>
    </r>
  </si>
  <si>
    <t>Comptes 10 : Dotations, Fonds divers et Réserves
Comptes 11 : Report à nouveau (solde débiteur ou créditeur)
Compte 12 : Résultat de l'exercice (excédent ou déficit)
Comptes 13 : Subventions d'investissement
Comptes 14 : Provisions réglementées
Comptes 15 : Provisions
Comptes 16 : Emprunts et dettes assimilés (sauf 1688 - Intérêts courus)</t>
  </si>
  <si>
    <t>Fonds de roulement net global</t>
  </si>
  <si>
    <t>Analyser en nombre de jours</t>
  </si>
  <si>
    <t>Réserves de trésorerie</t>
  </si>
  <si>
    <t>Fonds de roulement net global - Besoin en fonds de roulement</t>
  </si>
  <si>
    <t>Fonds de roulement d'investissement (FRI)</t>
  </si>
  <si>
    <t>Fonds de roulement d'exploitation (FRE)</t>
  </si>
  <si>
    <t>Calculer à partir des données du bilan.
Analyser en nombre de jours
Le FRI peut être positif ou négatif.</t>
  </si>
  <si>
    <t>Calculer à partir des données du bilan.
Analyser en nombre de jours
Le FRE peut être positif ou négatif.</t>
  </si>
  <si>
    <t>Calculer à partir des données du bilan.
Analyser en nombre de jours
Ratio permettant d'analyser l'équilibre financier.</t>
  </si>
  <si>
    <r>
      <t xml:space="preserve">Calculer à partir des données du bilan fonctionnel.
Approche fonctionnelle : hypothèse de continuité de l'exploitation.
Analyser en nombre de jours
Ratio permettant d'analyser l'équilibre financier.
</t>
    </r>
    <r>
      <rPr>
        <b/>
        <u/>
        <sz val="10"/>
        <color indexed="8"/>
        <rFont val="Calibri"/>
        <family val="2"/>
      </rPr>
      <t>Interprétation</t>
    </r>
    <r>
      <rPr>
        <sz val="10"/>
        <color indexed="8"/>
        <rFont val="Calibri"/>
        <family val="2"/>
      </rPr>
      <t xml:space="preserve"> :
Le FRNG va servir à couvrir le BFR de la structure, si le FRNG est &gt; au BFR, l'établissement disposera d'une trésorerie positive, la situation sera alors saine.</t>
    </r>
  </si>
  <si>
    <t>Ressources stables d'investissement - Emplois stables d'investissement</t>
  </si>
  <si>
    <t>Financements stables</t>
  </si>
  <si>
    <t>Biens stables</t>
  </si>
  <si>
    <t>Actifs stables d'exploitation</t>
  </si>
  <si>
    <t>Ressources stables d'exploitation</t>
  </si>
  <si>
    <t>Financements stables d'exploitation</t>
  </si>
  <si>
    <t>Emplois stables d'exploitation</t>
  </si>
  <si>
    <t>FRE</t>
  </si>
  <si>
    <t>Indicateur de solvabilité : combien l'établissement a-t-il d'argent à l'instant T ?
Le résultat est un indicateur de rentabilité : la structure créée-t-elle plus de "richesse" qu'elle n'en consomme ?</t>
  </si>
  <si>
    <t>BESOIN EN FONDS DE ROULEMENT</t>
  </si>
  <si>
    <t>Trésorerie active</t>
  </si>
  <si>
    <t>Trésorerie passive</t>
  </si>
  <si>
    <t>BFR</t>
  </si>
  <si>
    <t>Besoin en fonds de roulement</t>
  </si>
  <si>
    <t>Capitaux permanents</t>
  </si>
  <si>
    <t>Immobilisations incorporelles</t>
  </si>
  <si>
    <t>Immobilisations corporelles</t>
  </si>
  <si>
    <t>Immobilisations financières</t>
  </si>
  <si>
    <t>Stocks</t>
  </si>
  <si>
    <t>Liquidités</t>
  </si>
  <si>
    <t>Dettes d'exploitation</t>
  </si>
  <si>
    <t>Biens stables d'exploitation</t>
  </si>
  <si>
    <t>Constructions</t>
  </si>
  <si>
    <t>Immobilisations en cours</t>
  </si>
  <si>
    <t>Excédents affectés à l'investissement</t>
  </si>
  <si>
    <t>Report à nouveau déficitaire</t>
  </si>
  <si>
    <t>Provisions pour risques et charges</t>
  </si>
  <si>
    <t>Charges constatées d'avance</t>
  </si>
  <si>
    <t>Répartition des dépenses par groupe fonctionnel (groupe I)</t>
  </si>
  <si>
    <t>Répartition des dépenses par groupe fonctionnel (groupe II)</t>
  </si>
  <si>
    <t>Répartition des dépenses par groupe fonctionnel (groupe III)</t>
  </si>
  <si>
    <t>Taux d'exécution budgétaire</t>
  </si>
  <si>
    <t>(Total du groupe I des dépenses d'exploitation brutes / Total des charges de la classe 6) * 100</t>
  </si>
  <si>
    <t>(Total du groupe II des dépenses d'exploitation brutes / Total des charges de la classe 6) * 100</t>
  </si>
  <si>
    <t>(Total du groupe III des dépenses d'exploitation brutes / Total des charges de la classe 6) * 100</t>
  </si>
  <si>
    <t>Structure des dépenses financées par la dotation soins</t>
  </si>
  <si>
    <t>TdB de pilotage</t>
  </si>
  <si>
    <t>Charges</t>
  </si>
  <si>
    <t>Produits</t>
  </si>
  <si>
    <t>A C T I F</t>
  </si>
  <si>
    <t>Terrains</t>
  </si>
  <si>
    <t>Valeurs mobilières de placement</t>
  </si>
  <si>
    <t>Disponibilités</t>
  </si>
  <si>
    <t>P A S S I F</t>
  </si>
  <si>
    <t>Fonds dédiés</t>
  </si>
  <si>
    <t>Dettes sociales et fiscales</t>
  </si>
  <si>
    <t>Produits constatés d'avance</t>
  </si>
  <si>
    <t>Apports ou fonds associatifs</t>
  </si>
  <si>
    <t>Subventions d'investissements</t>
  </si>
  <si>
    <t>Dépôts et cautionnements reçus</t>
  </si>
  <si>
    <t>Amortissements :</t>
  </si>
  <si>
    <t>Comptes de liaison investissement</t>
  </si>
  <si>
    <t>Réserves ou provisions des plus values nettes</t>
  </si>
  <si>
    <t>Réserves de compensation des charges d'amortissement</t>
  </si>
  <si>
    <t>Provisions pour renouvellement d'immobilisations</t>
  </si>
  <si>
    <t>Emprunts et dettes financières</t>
  </si>
  <si>
    <t>Installations techniques, matériels, outillage</t>
  </si>
  <si>
    <t>Autres</t>
  </si>
  <si>
    <t>Total des Financements stables (I)</t>
  </si>
  <si>
    <t>Réserves et provisions de couverture du BFR</t>
  </si>
  <si>
    <t>Réserves de compensation des déficits</t>
  </si>
  <si>
    <t>Report à nouveau excédentaire affecté à :</t>
  </si>
  <si>
    <t>Comptes de liaison exploitation (stable)</t>
  </si>
  <si>
    <t>Résultat excédentaire</t>
  </si>
  <si>
    <t>Réduction charges d'exploitation</t>
  </si>
  <si>
    <t>Financement mesures d'exploitation</t>
  </si>
  <si>
    <t>FONDS DE ROULEMENT NET GLOBAL (positif)</t>
  </si>
  <si>
    <t>Avances reçues</t>
  </si>
  <si>
    <t>Fournisseurs d'exploitation</t>
  </si>
  <si>
    <t>Dettes diverses d'exploitation</t>
  </si>
  <si>
    <t>Dépréciation des stocks et créances</t>
  </si>
  <si>
    <t>Ressources à reverser à l'aide sociale</t>
  </si>
  <si>
    <t>Fonds déposés par les résidents</t>
  </si>
  <si>
    <t>Comptes de liaison du cycle d'exploitation</t>
  </si>
  <si>
    <t>Financements à court terme</t>
  </si>
  <si>
    <t>Fournisseurs d'immobilisations</t>
  </si>
  <si>
    <t>Fonds des majeurs protégés</t>
  </si>
  <si>
    <t>Concours bancaires courants</t>
  </si>
  <si>
    <t>Ligne de trésorerie</t>
  </si>
  <si>
    <t>Intérêts courus non échus</t>
  </si>
  <si>
    <t>Comptes de liaison de trésorerie</t>
  </si>
  <si>
    <t>Total des Financements stables d'exploitation (III)</t>
  </si>
  <si>
    <t>Total des Financements à court terme (VII)</t>
  </si>
  <si>
    <t>Total des Dettes d'exploitation (V)</t>
  </si>
  <si>
    <t>EXCÉDENT DE FINANCEMENT D'EXPLOITATION</t>
  </si>
  <si>
    <t>Contrôles</t>
  </si>
  <si>
    <t>Total des Liquidités (VIII)</t>
  </si>
  <si>
    <r>
      <t xml:space="preserve">Total des BIENS </t>
    </r>
    <r>
      <rPr>
        <sz val="11"/>
        <color indexed="8"/>
        <rFont val="Century Gothic"/>
        <family val="2"/>
      </rPr>
      <t>(II + IV + VII + VIII)</t>
    </r>
  </si>
  <si>
    <t>Créances sur cessions</t>
  </si>
  <si>
    <t>Valeurs d'exploitation</t>
  </si>
  <si>
    <t>Avances et acomptes versés</t>
  </si>
  <si>
    <t>Organismes payeurs, usagers</t>
  </si>
  <si>
    <t>Créances diverses d'exploitation</t>
  </si>
  <si>
    <t>Créances irrécouvrables en non valeur</t>
  </si>
  <si>
    <t>Total des Valeurs d'exploitation (VI)</t>
  </si>
  <si>
    <t>FONDS DE ROULEMENT NET GLOBAL (négatif)</t>
  </si>
  <si>
    <t>Résultat déficitaire</t>
  </si>
  <si>
    <t>Droits acquis par les salariés</t>
  </si>
  <si>
    <t>Total des Actifs stables d'exploitation (IV)</t>
  </si>
  <si>
    <t xml:space="preserve">Total des Biens stables (II) </t>
  </si>
  <si>
    <t>Immobilisations corporelles brutes :</t>
  </si>
  <si>
    <t>Charges à répartir</t>
  </si>
  <si>
    <t>Fonds de roulement d'investissement négatif (I - II)</t>
  </si>
  <si>
    <t>Fonds de roulement d'investissement positif (I - II)</t>
  </si>
  <si>
    <t>Fonds de roulement d'exploitation négatif (III - IV)</t>
  </si>
  <si>
    <t>Fonds de roulement d'exploitation positif (III - IV)</t>
  </si>
  <si>
    <t>TRÉSORERIE NÉGATIVE (VII - VIII)</t>
  </si>
  <si>
    <t>TRÉSORERIE POSITIVE (VII - VIII)</t>
  </si>
  <si>
    <t>Droits de l'affectant</t>
  </si>
  <si>
    <t>Dettes provisionnées sur congés à payer</t>
  </si>
  <si>
    <r>
      <t xml:space="preserve">Total des FINANCEMENTS </t>
    </r>
    <r>
      <rPr>
        <sz val="11"/>
        <color indexed="8"/>
        <rFont val="Century Gothic"/>
        <family val="2"/>
      </rPr>
      <t>(I + III + V + VII)</t>
    </r>
  </si>
  <si>
    <t>Famille d'indicateur</t>
  </si>
  <si>
    <t>Ratio/Indicateur</t>
  </si>
  <si>
    <r>
      <rPr>
        <u/>
        <sz val="10"/>
        <color indexed="30"/>
        <rFont val="Century Gothic"/>
        <family val="2"/>
      </rPr>
      <t>Calcul</t>
    </r>
    <r>
      <rPr>
        <sz val="10"/>
        <color indexed="30"/>
        <rFont val="Century Gothic"/>
        <family val="2"/>
      </rPr>
      <t xml:space="preserve"> :</t>
    </r>
  </si>
  <si>
    <r>
      <t>Définition</t>
    </r>
    <r>
      <rPr>
        <sz val="10"/>
        <color indexed="30"/>
        <rFont val="Century Gothic"/>
        <family val="2"/>
      </rPr>
      <t xml:space="preserve"> :</t>
    </r>
  </si>
  <si>
    <r>
      <rPr>
        <u/>
        <sz val="10"/>
        <color indexed="30"/>
        <rFont val="Century Gothic"/>
        <family val="2"/>
      </rPr>
      <t>Interprétation</t>
    </r>
    <r>
      <rPr>
        <sz val="10"/>
        <color indexed="30"/>
        <rFont val="Century Gothic"/>
        <family val="2"/>
      </rPr>
      <t xml:space="preserve"> :</t>
    </r>
  </si>
  <si>
    <r>
      <rPr>
        <u/>
        <sz val="10"/>
        <color indexed="30"/>
        <rFont val="Century Gothic"/>
        <family val="2"/>
      </rPr>
      <t>Seuil d'alerte</t>
    </r>
    <r>
      <rPr>
        <sz val="10"/>
        <color indexed="30"/>
        <rFont val="Century Gothic"/>
        <family val="2"/>
      </rPr>
      <t xml:space="preserve"> :</t>
    </r>
  </si>
  <si>
    <t>Le FRI peut être calculé et interprété en valeur (€) ou en ratio (%).</t>
  </si>
  <si>
    <r>
      <rPr>
        <u/>
        <sz val="10"/>
        <color indexed="30"/>
        <rFont val="Century Gothic"/>
        <family val="2"/>
      </rPr>
      <t>Ratio</t>
    </r>
    <r>
      <rPr>
        <sz val="10"/>
        <color indexed="30"/>
        <rFont val="Century Gothic"/>
        <family val="2"/>
      </rPr>
      <t xml:space="preserve"> :</t>
    </r>
  </si>
  <si>
    <r>
      <t xml:space="preserve">Si le </t>
    </r>
    <r>
      <rPr>
        <b/>
        <sz val="9"/>
        <color indexed="8"/>
        <rFont val="Century Gothic"/>
        <family val="2"/>
      </rPr>
      <t>FRI</t>
    </r>
    <r>
      <rPr>
        <sz val="9"/>
        <color indexed="8"/>
        <rFont val="Century Gothic"/>
        <family val="2"/>
      </rPr>
      <t xml:space="preserve"> est </t>
    </r>
    <r>
      <rPr>
        <b/>
        <u/>
        <sz val="9"/>
        <color indexed="8"/>
        <rFont val="Century Gothic"/>
        <family val="2"/>
      </rPr>
      <t>négatif</t>
    </r>
    <r>
      <rPr>
        <sz val="9"/>
        <color indexed="8"/>
        <rFont val="Century Gothic"/>
        <family val="2"/>
      </rPr>
      <t xml:space="preserve"> ou</t>
    </r>
    <r>
      <rPr>
        <b/>
        <u/>
        <sz val="9"/>
        <color indexed="8"/>
        <rFont val="Century Gothic"/>
        <family val="2"/>
      </rPr>
      <t xml:space="preserve"> inférieur à 100%</t>
    </r>
    <r>
      <rPr>
        <sz val="9"/>
        <color indexed="8"/>
        <rFont val="Century Gothic"/>
        <family val="2"/>
      </rPr>
      <t xml:space="preserve">, la situation peut </t>
    </r>
    <r>
      <rPr>
        <i/>
        <u/>
        <sz val="9"/>
        <color indexed="8"/>
        <rFont val="Century Gothic"/>
        <family val="2"/>
      </rPr>
      <t>être cohérente</t>
    </r>
    <r>
      <rPr>
        <sz val="9"/>
        <color indexed="8"/>
        <rFont val="Century Gothic"/>
        <family val="2"/>
      </rPr>
      <t xml:space="preserve"> :</t>
    </r>
  </si>
  <si>
    <t>Fonds de Roulement Net Global - FRNG</t>
  </si>
  <si>
    <t>Biens</t>
  </si>
  <si>
    <t xml:space="preserve">Ressources </t>
  </si>
  <si>
    <t>Emplois</t>
  </si>
  <si>
    <t>ou</t>
  </si>
  <si>
    <r>
      <rPr>
        <b/>
        <u/>
        <sz val="10"/>
        <color indexed="8"/>
        <rFont val="Calibri"/>
        <family val="2"/>
      </rPr>
      <t>Interprétation</t>
    </r>
    <r>
      <rPr>
        <b/>
        <sz val="10"/>
        <color indexed="8"/>
        <rFont val="Calibri"/>
        <family val="2"/>
      </rPr>
      <t xml:space="preserve"> : </t>
    </r>
    <r>
      <rPr>
        <sz val="10"/>
        <color indexed="8"/>
        <rFont val="Calibri"/>
        <family val="2"/>
      </rPr>
      <t>La durée apparente de la dette  exprime, en nombre de mois, la durée que la CAF observée mettrait à rembourser l'encours de la dette.</t>
    </r>
  </si>
  <si>
    <t>Comptes 16 : Emprunts et dettes assimilés (sauf 1688-Intérêts courus)</t>
  </si>
  <si>
    <r>
      <t xml:space="preserve">( Soldes créditeurs des comptes 16 (sauf 1688-Intérêts courus) / CAF ) * 12 mois
</t>
    </r>
    <r>
      <rPr>
        <b/>
        <sz val="10"/>
        <color indexed="8"/>
        <rFont val="Calibri"/>
        <family val="2"/>
      </rPr>
      <t>Le numérateur représente l'encours de la dette.
Le dénominateur représente l'autofinancement, soit la CAF.</t>
    </r>
  </si>
  <si>
    <t>d'Exploitation</t>
  </si>
  <si>
    <r>
      <t xml:space="preserve">Solde créditeurs des comptes 16 (sauf 1688 - Intérêts courus) / Solde créditeur des comptes 10 à 16 (sauf 1688)
</t>
    </r>
    <r>
      <rPr>
        <b/>
        <sz val="10"/>
        <color indexed="8"/>
        <rFont val="Calibri"/>
        <family val="2"/>
      </rPr>
      <t>C'est le rapport entre les dettes à moyen et long terme, et les capitaux permanents.</t>
    </r>
  </si>
  <si>
    <r>
      <t xml:space="preserve">Résultat net (solde compte 12) + Solde des comptes 68 (sauf 6817) + Solde du compte 675 - Solde du compte 777 - Solde du compte 775 - Solde des comptes 78 (sauf 7817)
</t>
    </r>
    <r>
      <rPr>
        <b/>
        <sz val="10"/>
        <color indexed="8"/>
        <rFont val="Calibri"/>
        <family val="2"/>
      </rPr>
      <t>C'est la différence entre [le résultat de l'exercice + les dotations aux amortissements (hors dotations aux dépréciations des actifs circulants) + la valeur comptable des actifs cédés] et [le quote-part des subventions d'investissement + les produits de cessions d'actif + les reprises sur amortissements, dépréciations et provisions (hors reprises sur dépréciations des actifs circulants)]</t>
    </r>
  </si>
  <si>
    <t>Compte 12 : Résultat de l'exercice
Compte 675 : Valeurs comptables des éléments d'actif cédés
Comptes 68 : Dotations aux amortissements, dépréciations et provisions (sauf 6817 - Dotations aux dépréciation des actifs circulants)
Compte 775 : Produits des cessions d'éléments d'actif
Compte 777 : Quote-part des subventions d'investissement virées au résultat de l'exercice
Comptes 78 : Reprises sur amortissements, dépréciations et provisions (sauf 7817 - Reprises sur dépréciations des actifs circulants)</t>
  </si>
  <si>
    <r>
      <rPr>
        <b/>
        <u/>
        <sz val="10"/>
        <color indexed="8"/>
        <rFont val="Calibri"/>
        <family val="2"/>
      </rPr>
      <t>Interprétation</t>
    </r>
    <r>
      <rPr>
        <sz val="10"/>
        <color indexed="8"/>
        <rFont val="Calibri"/>
        <family val="2"/>
      </rPr>
      <t xml:space="preserve"> : La capacité d'autofinancement </t>
    </r>
  </si>
  <si>
    <t>Amortissements comptables excédentaires différés</t>
  </si>
  <si>
    <t>Dépenses pour congés à payer</t>
  </si>
  <si>
    <t>FRI +</t>
  </si>
  <si>
    <t>Le Fonds de Roulement Net Global est la différence entre les financements stables (les ressources) et les biens stables (les emplois).
Le FRNG agit comme une réserve : il servira à compenser/financer les dépenses dans l'attente de l'encaissement des recettes.</t>
  </si>
  <si>
    <t>Ressources stables
d'investissement</t>
  </si>
  <si>
    <t>Emplois stables
d'investissement</t>
  </si>
  <si>
    <t>En €, le FRI doit normalement être positif.</t>
  </si>
  <si>
    <t>En €, le FRE doit normalement être positif.</t>
  </si>
  <si>
    <t>En €, le FRNG doit normalement être positif.</t>
  </si>
  <si>
    <t>En %, le FRNG doit normalement être supérieur à 100% (ou &gt; à 1).</t>
  </si>
  <si>
    <t>Le FRNG est habituellement supérieur au BFR.</t>
  </si>
  <si>
    <t>Actif circulant</t>
  </si>
  <si>
    <t>Emplois cycliques d'exploitation</t>
  </si>
  <si>
    <t>FRNG</t>
  </si>
  <si>
    <t>x 365 jours</t>
  </si>
  <si>
    <r>
      <t>En nbre de jours de charges courantes</t>
    </r>
    <r>
      <rPr>
        <sz val="10"/>
        <color indexed="30"/>
        <rFont val="Century Gothic"/>
        <family val="2"/>
      </rPr>
      <t xml:space="preserve"> :</t>
    </r>
  </si>
  <si>
    <r>
      <t>En nombre jours de charges courantes</t>
    </r>
    <r>
      <rPr>
        <sz val="10"/>
        <color indexed="30"/>
        <rFont val="Century Gothic"/>
        <family val="2"/>
      </rPr>
      <t xml:space="preserve"> :</t>
    </r>
  </si>
  <si>
    <t>−</t>
  </si>
  <si>
    <r>
      <t xml:space="preserve">FRNG    </t>
    </r>
    <r>
      <rPr>
        <b/>
        <sz val="10"/>
        <color indexed="8"/>
        <rFont val="Calibri"/>
        <family val="2"/>
      </rPr>
      <t>−</t>
    </r>
  </si>
  <si>
    <r>
      <t xml:space="preserve">Financements     </t>
    </r>
    <r>
      <rPr>
        <b/>
        <sz val="10"/>
        <color indexed="8"/>
        <rFont val="Calibri"/>
        <family val="2"/>
      </rPr>
      <t>−</t>
    </r>
    <r>
      <rPr>
        <b/>
        <sz val="10"/>
        <color indexed="8"/>
        <rFont val="Century Gothic"/>
        <family val="2"/>
      </rPr>
      <t xml:space="preserve">  </t>
    </r>
  </si>
  <si>
    <r>
      <t xml:space="preserve">Financements stables d'exploitation  </t>
    </r>
    <r>
      <rPr>
        <b/>
        <sz val="10"/>
        <color indexed="8"/>
        <rFont val="Calibri"/>
        <family val="2"/>
      </rPr>
      <t>−</t>
    </r>
  </si>
  <si>
    <r>
      <t xml:space="preserve">Financements stables  </t>
    </r>
    <r>
      <rPr>
        <b/>
        <sz val="10"/>
        <color indexed="8"/>
        <rFont val="Calibri"/>
        <family val="2"/>
      </rPr>
      <t>−</t>
    </r>
  </si>
  <si>
    <t>Trésorerie nette - TN</t>
  </si>
  <si>
    <t xml:space="preserve">En €, le BFR doit normalement être inférieur au FRNG.
Le BFR est généralement positif.
On recherche un BFR le plus faible possible puisque le fait de mobiliser des moyens de financement est onéreux.
</t>
  </si>
  <si>
    <t>En €, la trésorerie nette doit normalement être proche de zéro. On recherche une "trésorerie zéro".
Une trésorerie nette trop souvent positive signifie que le fonds de roulement est surdimensionné par rapport au besoin de fonds de roulement de l'ESMS. Il conviendrait donc, pour tendre vers une trésorerie à zéro, de réaliser un remboursement anticipé d'emprunt ou encore de réduire les délais de paiement des fournisseurs.</t>
  </si>
  <si>
    <r>
      <t xml:space="preserve">Si le </t>
    </r>
    <r>
      <rPr>
        <u/>
        <sz val="9"/>
        <color indexed="8"/>
        <rFont val="Century Gothic"/>
        <family val="2"/>
      </rPr>
      <t xml:space="preserve">FRI est </t>
    </r>
    <r>
      <rPr>
        <b/>
        <u/>
        <sz val="9"/>
        <color indexed="8"/>
        <rFont val="Century Gothic"/>
        <family val="2"/>
      </rPr>
      <t>positif</t>
    </r>
    <r>
      <rPr>
        <sz val="9"/>
        <color indexed="8"/>
        <rFont val="Century Gothic"/>
        <family val="2"/>
      </rPr>
      <t>, supérieur à 100%, cela signifie que les actifs immobilisés bruts (= les biens stables) sont financés par des ressources stables de long terme (= des financements stables).
Les financements stables correspondent aux dettes supérieures à 1 an.</t>
    </r>
  </si>
  <si>
    <t>TN</t>
  </si>
  <si>
    <t>Encours de la dette à moyen et long terme</t>
  </si>
  <si>
    <t>x 100%</t>
  </si>
  <si>
    <r>
      <t>Taux d'indépendance financière</t>
    </r>
    <r>
      <rPr>
        <sz val="12"/>
        <color indexed="30"/>
        <rFont val="Century Gothic"/>
        <family val="2"/>
      </rPr>
      <t/>
    </r>
  </si>
  <si>
    <t>Compte financier</t>
  </si>
  <si>
    <t>Circulaire du 9 mai 2012 relative aux limites et réserves du recours à l'emprunt par les établissements publics de santé</t>
  </si>
  <si>
    <t>3 ratios liés à la dette :</t>
  </si>
  <si>
    <t>• taux d'indépendance financière</t>
  </si>
  <si>
    <t>• durée apparente de la dette</t>
  </si>
  <si>
    <t>• taux d'encours de la dette, rapporté au total des produits toutes activités confondues</t>
  </si>
  <si>
    <r>
      <t xml:space="preserve">Ces ratios sont observés par l'ARS afin d'étudier la situation financière des établissements publics de santé lorsque ceux-ci souhaitent recourir à un emprunt.
Chaque ratio présente un seuil : si le seuil est dépassé pour </t>
    </r>
    <r>
      <rPr>
        <u/>
        <sz val="9"/>
        <color indexed="10"/>
        <rFont val="Century Gothic"/>
        <family val="2"/>
      </rPr>
      <t>deux</t>
    </r>
    <r>
      <rPr>
        <sz val="9"/>
        <color indexed="8"/>
        <rFont val="Century Gothic"/>
        <family val="2"/>
      </rPr>
      <t xml:space="preserve"> de ces trois critères, l'ARS n'autorisera pas le recours à l'emprunt pour l'EPS.</t>
    </r>
  </si>
  <si>
    <r>
      <t xml:space="preserve">Circulaire du 9 mai 2012 relative aux limites et réserves du recours à l'emprunt par les établissements publics de santé.
</t>
    </r>
    <r>
      <rPr>
        <sz val="9"/>
        <color indexed="8"/>
        <rFont val="Century Gothic"/>
        <family val="2"/>
      </rPr>
      <t>Il est souhaitable que le taux d'indépendance financière soit</t>
    </r>
    <r>
      <rPr>
        <b/>
        <sz val="9"/>
        <color indexed="8"/>
        <rFont val="Century Gothic"/>
        <family val="2"/>
      </rPr>
      <t xml:space="preserve"> </t>
    </r>
    <r>
      <rPr>
        <b/>
        <sz val="9"/>
        <color indexed="10"/>
        <rFont val="Century Gothic"/>
        <family val="2"/>
      </rPr>
      <t>inférieur à 50%.</t>
    </r>
  </si>
  <si>
    <t>Source des données</t>
  </si>
  <si>
    <t>CAF</t>
  </si>
  <si>
    <t>x 12 mois</t>
  </si>
  <si>
    <t xml:space="preserve">Compte financier + Tableau de bord de la performance dans le secteur médico-social </t>
  </si>
  <si>
    <r>
      <t xml:space="preserve">On interprétera la durée apparente de la dette ainsi : </t>
    </r>
    <r>
      <rPr>
        <i/>
        <sz val="9"/>
        <color indexed="8"/>
        <rFont val="Century Gothic"/>
        <family val="2"/>
      </rPr>
      <t xml:space="preserve">"Si l'ESMS consacre l'intégralité de sa CAF au remboursement de l'encours de sa dette, celui-ci mettra X années pour le rembourser."
</t>
    </r>
    <r>
      <rPr>
        <u/>
        <sz val="9"/>
        <color indexed="8"/>
        <rFont val="Century Gothic"/>
        <family val="2"/>
      </rPr>
      <t>Plus la durée est longue</t>
    </r>
    <r>
      <rPr>
        <sz val="9"/>
        <color indexed="8"/>
        <rFont val="Century Gothic"/>
        <family val="2"/>
      </rPr>
      <t>, moins l'établissement a de marge pour financer le remboursement de sa dette, le renouvellement de ses immobilisations et d'éventuels investissements.</t>
    </r>
  </si>
  <si>
    <t>Encours de la dette</t>
  </si>
  <si>
    <r>
      <t xml:space="preserve">Circulaire du 9 mai 2012 relative aux limites et réserves du recours à l'emprunt par les établissements publics de santé.
</t>
    </r>
    <r>
      <rPr>
        <sz val="9"/>
        <color indexed="8"/>
        <rFont val="Century Gothic"/>
        <family val="2"/>
      </rPr>
      <t xml:space="preserve">Il est souhaitable que l'encours de la dette soit </t>
    </r>
    <r>
      <rPr>
        <b/>
        <sz val="9"/>
        <color indexed="10"/>
        <rFont val="Century Gothic"/>
        <family val="2"/>
      </rPr>
      <t>inférieur à 30%.</t>
    </r>
  </si>
  <si>
    <r>
      <t xml:space="preserve">Circulaire du 9 mai 2012 relative aux limites et réserves du recours à l'emprunt par les établissements publics de santé.
</t>
    </r>
    <r>
      <rPr>
        <sz val="9"/>
        <color indexed="8"/>
        <rFont val="Century Gothic"/>
        <family val="2"/>
      </rPr>
      <t xml:space="preserve">Il est souhaitable que la durée apparente de la dette </t>
    </r>
    <r>
      <rPr>
        <b/>
        <sz val="9"/>
        <color indexed="10"/>
        <rFont val="Century Gothic"/>
        <family val="2"/>
      </rPr>
      <t>ne dépasse pas 10 ans.</t>
    </r>
  </si>
  <si>
    <r>
      <t xml:space="preserve">Valeurs d'exploitation  </t>
    </r>
    <r>
      <rPr>
        <b/>
        <sz val="10"/>
        <color indexed="8"/>
        <rFont val="Calibri"/>
        <family val="2"/>
      </rPr>
      <t>−</t>
    </r>
    <r>
      <rPr>
        <b/>
        <sz val="10"/>
        <color indexed="8"/>
        <rFont val="Century Gothic"/>
        <family val="2"/>
      </rPr>
      <t xml:space="preserve">  </t>
    </r>
  </si>
  <si>
    <r>
      <t xml:space="preserve">Soldes débiteurs des comptes de classe 3 et 4   </t>
    </r>
    <r>
      <rPr>
        <sz val="9"/>
        <color indexed="8"/>
        <rFont val="Calibri"/>
        <family val="2"/>
      </rPr>
      <t>−</t>
    </r>
    <r>
      <rPr>
        <sz val="9"/>
        <color indexed="8"/>
        <rFont val="Century Gothic"/>
        <family val="2"/>
      </rPr>
      <t xml:space="preserve">  Soldes créditeurs des comptes de classe 4 (hors compte 49)</t>
    </r>
  </si>
  <si>
    <t>Solde créditeur des comptes 7 (sauf 7087)</t>
  </si>
  <si>
    <t>Il correspond au rapport entre l'encours de la dette et les produits toutes activités confondues.
Il exprime le poids de la dette au regard de la somme des produits de l'activité de l'ESMS (tout budget confondu).</t>
  </si>
  <si>
    <r>
      <t>Le taux d'indépendance financière permet de mesurer la part, le poids de l'endettement dans les ressources stables, les capitaux permanents.
Malgré son intitulé, ce ratio permet davantage d'observer la dépendance financière de l'établissement.
On interprétera le taux d'indépendance financière ainsi :</t>
    </r>
    <r>
      <rPr>
        <i/>
        <sz val="9"/>
        <color indexed="8"/>
        <rFont val="Century Gothic"/>
        <family val="2"/>
      </rPr>
      <t xml:space="preserve"> "L'encours de la dette représente X% des capitaux permanents/des ressources stables de la structure."</t>
    </r>
  </si>
  <si>
    <r>
      <t>On interprétera cet indicateur ainsi :</t>
    </r>
    <r>
      <rPr>
        <i/>
        <sz val="9"/>
        <color indexed="8"/>
        <rFont val="Century Gothic"/>
        <family val="2"/>
      </rPr>
      <t xml:space="preserve"> "L'encours de la dette représente X% des produits de la structure".</t>
    </r>
  </si>
  <si>
    <t>Objectif</t>
  </si>
  <si>
    <t>Maîtriser l'endettement</t>
  </si>
  <si>
    <t>Assurer l'équilibre de la structure financière</t>
  </si>
  <si>
    <t>Mesurer le niveau d'autofinancement</t>
  </si>
  <si>
    <t>Taux de marge brute</t>
  </si>
  <si>
    <t>Résultat d'exploitation</t>
  </si>
  <si>
    <t>Total des produits d'exploitation</t>
  </si>
  <si>
    <t xml:space="preserve">Le taux de marge brute correspond à la part de marge brute que dégage l'ESMS sur son exploitation.
</t>
  </si>
  <si>
    <r>
      <t xml:space="preserve">Rapport IGAS-IGF "Evaluation du financement et du pilotage de l'investissement hospitalier" de Mars 2013
</t>
    </r>
    <r>
      <rPr>
        <sz val="9"/>
        <color indexed="8"/>
        <rFont val="Century Gothic"/>
        <family val="2"/>
      </rPr>
      <t>Il est préconisé que le taux de marge brute non aidée</t>
    </r>
    <r>
      <rPr>
        <sz val="9"/>
        <color indexed="10"/>
        <rFont val="Century Gothic"/>
        <family val="2"/>
      </rPr>
      <t xml:space="preserve"> atteigne 8%.</t>
    </r>
  </si>
  <si>
    <t>Ventes, production vendue, Produits de la tarification, Subventions d'exploitation, Participations et autres produits d'exploitation</t>
  </si>
  <si>
    <t>N</t>
  </si>
  <si>
    <t xml:space="preserve">          - Réserves de trésorerie en jours d'exploitat°</t>
  </si>
  <si>
    <t>CYCLE D'EXPLOITATION</t>
  </si>
  <si>
    <t>7)   VALEUR TECHNIQUE DU LIT (PLACE)</t>
  </si>
  <si>
    <t>12) CAPACITE D'AUTOFINANCEMENT (C.A.F.)</t>
  </si>
  <si>
    <t>CAF en % des produits</t>
  </si>
  <si>
    <t>TRESORERIE</t>
  </si>
  <si>
    <t>13) TRESORERIE en jours d'exploitation</t>
  </si>
  <si>
    <t xml:space="preserve">          Liquidités en jours d'exploitation</t>
  </si>
  <si>
    <t>14) RATIO DE TRESORERIE RELATIVE</t>
  </si>
  <si>
    <t>Taux d'indépendance financière</t>
  </si>
  <si>
    <t>jrs</t>
  </si>
  <si>
    <t>ans</t>
  </si>
  <si>
    <r>
      <rPr>
        <u/>
        <sz val="10"/>
        <color indexed="60"/>
        <rFont val="Century Gothic"/>
        <family val="2"/>
      </rPr>
      <t>Texte</t>
    </r>
    <r>
      <rPr>
        <sz val="10"/>
        <color indexed="60"/>
        <rFont val="Century Gothic"/>
        <family val="2"/>
      </rPr>
      <t xml:space="preserve"> :</t>
    </r>
  </si>
  <si>
    <r>
      <rPr>
        <u/>
        <sz val="10"/>
        <color indexed="60"/>
        <rFont val="Century Gothic"/>
        <family val="2"/>
      </rPr>
      <t>Ratios</t>
    </r>
    <r>
      <rPr>
        <sz val="10"/>
        <color indexed="60"/>
        <rFont val="Century Gothic"/>
        <family val="2"/>
      </rPr>
      <t xml:space="preserve"> :</t>
    </r>
  </si>
  <si>
    <r>
      <t>Utilisation</t>
    </r>
    <r>
      <rPr>
        <sz val="10"/>
        <color indexed="60"/>
        <rFont val="Century Gothic"/>
        <family val="2"/>
      </rPr>
      <t xml:space="preserve"> : </t>
    </r>
  </si>
  <si>
    <r>
      <rPr>
        <u/>
        <sz val="10"/>
        <color indexed="60"/>
        <rFont val="Century Gothic"/>
        <family val="2"/>
      </rPr>
      <t>Calcul</t>
    </r>
    <r>
      <rPr>
        <sz val="10"/>
        <color indexed="60"/>
        <rFont val="Century Gothic"/>
        <family val="2"/>
      </rPr>
      <t xml:space="preserve"> :</t>
    </r>
  </si>
  <si>
    <r>
      <rPr>
        <u/>
        <sz val="10"/>
        <color indexed="60"/>
        <rFont val="Century Gothic"/>
        <family val="2"/>
      </rPr>
      <t>Comptes utilisés</t>
    </r>
    <r>
      <rPr>
        <sz val="10"/>
        <color indexed="60"/>
        <rFont val="Century Gothic"/>
        <family val="2"/>
      </rPr>
      <t xml:space="preserve"> : </t>
    </r>
  </si>
  <si>
    <r>
      <t>Définition</t>
    </r>
    <r>
      <rPr>
        <sz val="10"/>
        <color indexed="60"/>
        <rFont val="Century Gothic"/>
        <family val="2"/>
      </rPr>
      <t xml:space="preserve"> :</t>
    </r>
  </si>
  <si>
    <r>
      <rPr>
        <u/>
        <sz val="10"/>
        <color indexed="60"/>
        <rFont val="Century Gothic"/>
        <family val="2"/>
      </rPr>
      <t>Interprétation</t>
    </r>
    <r>
      <rPr>
        <sz val="10"/>
        <color indexed="60"/>
        <rFont val="Century Gothic"/>
        <family val="2"/>
      </rPr>
      <t xml:space="preserve"> :</t>
    </r>
  </si>
  <si>
    <r>
      <rPr>
        <u/>
        <sz val="10"/>
        <color indexed="60"/>
        <rFont val="Century Gothic"/>
        <family val="2"/>
      </rPr>
      <t>Seuil d'alerte</t>
    </r>
    <r>
      <rPr>
        <sz val="10"/>
        <color indexed="60"/>
        <rFont val="Century Gothic"/>
        <family val="2"/>
      </rPr>
      <t xml:space="preserve"> :</t>
    </r>
  </si>
  <si>
    <t>Délai de rotation des créances d'exploitation</t>
  </si>
  <si>
    <t>Délai de rotation des dettes d'exploitation</t>
  </si>
  <si>
    <t>Analyse du bilan</t>
  </si>
  <si>
    <r>
      <t xml:space="preserve">FRNG </t>
    </r>
    <r>
      <rPr>
        <sz val="9"/>
        <color indexed="30"/>
        <rFont val="Century Gothic"/>
        <family val="2"/>
      </rPr>
      <t>en jours de charges courantes</t>
    </r>
  </si>
  <si>
    <r>
      <t xml:space="preserve">BFR </t>
    </r>
    <r>
      <rPr>
        <sz val="9"/>
        <color indexed="30"/>
        <rFont val="Century Gothic"/>
        <family val="2"/>
      </rPr>
      <t>en jours de charges courantes</t>
    </r>
  </si>
  <si>
    <r>
      <t xml:space="preserve">TN </t>
    </r>
    <r>
      <rPr>
        <sz val="9"/>
        <color indexed="30"/>
        <rFont val="Century Gothic"/>
        <family val="2"/>
      </rPr>
      <t>en jours de charges courantes</t>
    </r>
  </si>
  <si>
    <r>
      <t xml:space="preserve">Trésorerie nette </t>
    </r>
    <r>
      <rPr>
        <sz val="10"/>
        <color indexed="30"/>
        <rFont val="Century Gothic"/>
        <family val="2"/>
      </rPr>
      <t>en jours de charges courantes</t>
    </r>
  </si>
  <si>
    <t>Année</t>
  </si>
  <si>
    <r>
      <t>Définition</t>
    </r>
    <r>
      <rPr>
        <sz val="10"/>
        <color indexed="53"/>
        <rFont val="Century Gothic"/>
        <family val="2"/>
      </rPr>
      <t xml:space="preserve"> :</t>
    </r>
    <r>
      <rPr>
        <u/>
        <sz val="10"/>
        <color indexed="53"/>
        <rFont val="Century Gothic"/>
        <family val="2"/>
      </rPr>
      <t xml:space="preserve"> </t>
    </r>
  </si>
  <si>
    <r>
      <rPr>
        <u/>
        <sz val="10"/>
        <color indexed="53"/>
        <rFont val="Century Gothic"/>
        <family val="2"/>
      </rPr>
      <t>Comptes utilisés</t>
    </r>
    <r>
      <rPr>
        <sz val="10"/>
        <color indexed="53"/>
        <rFont val="Century Gothic"/>
        <family val="2"/>
      </rPr>
      <t xml:space="preserve"> : </t>
    </r>
  </si>
  <si>
    <r>
      <rPr>
        <u/>
        <sz val="10"/>
        <color indexed="53"/>
        <rFont val="Century Gothic"/>
        <family val="2"/>
      </rPr>
      <t>Calcul</t>
    </r>
    <r>
      <rPr>
        <sz val="10"/>
        <color indexed="53"/>
        <rFont val="Century Gothic"/>
        <family val="2"/>
      </rPr>
      <t xml:space="preserve"> : </t>
    </r>
  </si>
  <si>
    <r>
      <rPr>
        <u/>
        <sz val="10"/>
        <color indexed="53"/>
        <rFont val="Century Gothic"/>
        <family val="2"/>
      </rPr>
      <t>Interprétation</t>
    </r>
    <r>
      <rPr>
        <sz val="10"/>
        <color indexed="53"/>
        <rFont val="Century Gothic"/>
        <family val="2"/>
      </rPr>
      <t xml:space="preserve"> :</t>
    </r>
  </si>
  <si>
    <r>
      <rPr>
        <u/>
        <sz val="10"/>
        <color indexed="53"/>
        <rFont val="Century Gothic"/>
        <family val="2"/>
      </rPr>
      <t>Seuil d'alerte</t>
    </r>
    <r>
      <rPr>
        <sz val="10"/>
        <color indexed="53"/>
        <rFont val="Century Gothic"/>
        <family val="2"/>
      </rPr>
      <t xml:space="preserve"> :</t>
    </r>
  </si>
  <si>
    <t>Gérer/Maîtriser les créances d'exploitation</t>
  </si>
  <si>
    <t>Gérer/Maîtriser les dettes d'exploitation</t>
  </si>
  <si>
    <r>
      <t xml:space="preserve">On interprétera cet indicateur de la manière suivante : </t>
    </r>
    <r>
      <rPr>
        <i/>
        <sz val="9"/>
        <color indexed="8"/>
        <rFont val="Century Gothic"/>
        <family val="2"/>
      </rPr>
      <t xml:space="preserve">"Le délai moyen de paiement aux fournisseurs est de X jours." </t>
    </r>
  </si>
  <si>
    <t>Organismes payeurs, usagers + Créances diverses d'exploitation</t>
  </si>
  <si>
    <t>Le délai de rotation des créances d'exploitation permet de mesurer le délai moyen de paiement des créanciers de la structure.</t>
  </si>
  <si>
    <r>
      <rPr>
        <sz val="9"/>
        <color indexed="8"/>
        <rFont val="Century Gothic"/>
        <family val="2"/>
      </rPr>
      <t>Il est préférable que le délai de rotation des dettes d'exploitation, le délai de paiement des fournisseurs, soit plus important que celui des créances : cela laisse ainsi le temps de percevoir la créance avant de régler la dette.</t>
    </r>
    <r>
      <rPr>
        <b/>
        <sz val="9"/>
        <color indexed="8"/>
        <rFont val="Century Gothic"/>
        <family val="2"/>
      </rPr>
      <t xml:space="preserve">
Depuis le décret n° 2008-1550 du 31 décembre 2008, les ESMS publics doivent respecter le délai maximum de paiement de leurs fournisseurs : </t>
    </r>
    <r>
      <rPr>
        <b/>
        <u/>
        <sz val="9"/>
        <color indexed="10"/>
        <rFont val="Century Gothic"/>
        <family val="2"/>
      </rPr>
      <t>30 jours dans le cadre d'un marché public</t>
    </r>
    <r>
      <rPr>
        <b/>
        <sz val="9"/>
        <color indexed="8"/>
        <rFont val="Century Gothic"/>
        <family val="2"/>
      </rPr>
      <t>.</t>
    </r>
  </si>
  <si>
    <t>Programme d'investissement</t>
  </si>
  <si>
    <t>Bien</t>
  </si>
  <si>
    <t>Catégorie</t>
  </si>
  <si>
    <t>Coût</t>
  </si>
  <si>
    <t>Année d'acquisition</t>
  </si>
  <si>
    <t>Durée d'amort.</t>
  </si>
  <si>
    <t>N° compte</t>
  </si>
  <si>
    <t>Libellé</t>
  </si>
  <si>
    <t>5 ans maximum</t>
  </si>
  <si>
    <t>Frais d'établissement</t>
  </si>
  <si>
    <t>Outillage</t>
  </si>
  <si>
    <t>Matériel de transport</t>
  </si>
  <si>
    <t>Matériel informatique</t>
  </si>
  <si>
    <t>Constructions sur sol d'autrui</t>
  </si>
  <si>
    <t>Constructions sur sol propre</t>
  </si>
  <si>
    <t>Logiciels</t>
  </si>
  <si>
    <t>Mobilier</t>
  </si>
  <si>
    <t>entre 20 et 30 ans</t>
  </si>
  <si>
    <t>10 ans</t>
  </si>
  <si>
    <t>Bâtiments</t>
  </si>
  <si>
    <t>NON RENSEIGNE</t>
  </si>
  <si>
    <t>Frais d'études, de recherche et de développement</t>
  </si>
  <si>
    <t>Concessions et droits similaires, brevets, licences, marques et procédés, droits et valeurs similaires</t>
  </si>
  <si>
    <t>Autres immobilisations corporelles</t>
  </si>
  <si>
    <t>Agencements et aménagements des terrains, plantations à demeure</t>
  </si>
  <si>
    <t>Installations, matériel et outillage techniques</t>
  </si>
  <si>
    <t>Installations générales, agencements, aménagements divers</t>
  </si>
  <si>
    <t>Matériel de bureau et matériel informatique</t>
  </si>
  <si>
    <t>Cheptel</t>
  </si>
  <si>
    <t>Automobiles et matériel roulant</t>
  </si>
  <si>
    <t>Matériel de bureau</t>
  </si>
  <si>
    <t>Matériel</t>
  </si>
  <si>
    <t>Taux d'amortissement</t>
  </si>
  <si>
    <t>Agencements et installations</t>
  </si>
  <si>
    <t>Installations générales, agencements, aménagements des constructions - IGAAC</t>
  </si>
  <si>
    <t>Durées  d'amortissement des immobilisations - à titre indicatif</t>
  </si>
  <si>
    <t>.</t>
  </si>
  <si>
    <t>Amortissements</t>
  </si>
  <si>
    <t>Mois d'acquisition</t>
  </si>
  <si>
    <t>Janvier</t>
  </si>
  <si>
    <t>Février</t>
  </si>
  <si>
    <t>Mars</t>
  </si>
  <si>
    <t>Avril</t>
  </si>
  <si>
    <t>Mai</t>
  </si>
  <si>
    <t>Juin</t>
  </si>
  <si>
    <t>Juillet</t>
  </si>
  <si>
    <t>Août</t>
  </si>
  <si>
    <t>Septembre</t>
  </si>
  <si>
    <t>Octobre</t>
  </si>
  <si>
    <t>Novembre</t>
  </si>
  <si>
    <t>Décembre</t>
  </si>
  <si>
    <t>Mois</t>
  </si>
  <si>
    <t>correspondance</t>
  </si>
  <si>
    <t>durée d'utilisation 1ère année</t>
  </si>
  <si>
    <t>durée d'utilisation dernière année</t>
  </si>
  <si>
    <t>Solde créditeur des comptes 16 (sauf 1688 et 169)</t>
  </si>
  <si>
    <t>Comptes 16 (sauf 1688 et 169)</t>
  </si>
  <si>
    <r>
      <t xml:space="preserve">(Total des charges de classe 6 réalisées / Total des charges de classe 6 arrêtées) * 100
</t>
    </r>
    <r>
      <rPr>
        <b/>
        <sz val="10"/>
        <color indexed="8"/>
        <rFont val="Calibri"/>
        <family val="2"/>
      </rPr>
      <t>C'est le rapport entre les charges réellement engagées (Compte Administratif N-1) et les  charges allouées (Arrêté de tarification de l'exécution budgétaire N-1)</t>
    </r>
  </si>
  <si>
    <t>Soldes intermédiaires de gestion</t>
  </si>
  <si>
    <t>Excédent brut d'exploitation</t>
  </si>
  <si>
    <t>Résultat net</t>
  </si>
  <si>
    <t>+ 74 : Subventions d'exploitation et participations</t>
  </si>
  <si>
    <t xml:space="preserve">- 63 : Impôts, taxes et versements assimilés </t>
  </si>
  <si>
    <t>+ 781 : Reprises sur amortissements, dépréciations et provisions</t>
  </si>
  <si>
    <t>+ 75 : Autres produits de gestion courante</t>
  </si>
  <si>
    <t xml:space="preserve">- 681 : Dotations aux amortissements, aux dépréciations et aux provisions : charges d'exploitation </t>
  </si>
  <si>
    <t>- 65 : Autres charges de gestion courante</t>
  </si>
  <si>
    <t>+ 76 : Produits financiers</t>
  </si>
  <si>
    <t>+ 786 : Reprises sur dépréciations et provisions</t>
  </si>
  <si>
    <t>+ 77 : Produits exceptionnels</t>
  </si>
  <si>
    <t>+ 787 : Reprises sur dépréciations et provisions</t>
  </si>
  <si>
    <t>- 66 : Charges financières</t>
  </si>
  <si>
    <t>- 686 : Dotations aux amortissements, aux dépréciations et aux provisions : charges financières</t>
  </si>
  <si>
    <t>- 67 : Charges exceptionnelles</t>
  </si>
  <si>
    <t>Résultat courant</t>
  </si>
  <si>
    <t>Résultat exceptionnel</t>
  </si>
  <si>
    <t>Résultat net comptable</t>
  </si>
  <si>
    <t>+ 68 : Dotations aux amortissements, aux dépréciations et aux provisions (sauf 6817)</t>
  </si>
  <si>
    <t>+ 675 : Valeurs comptables des éléments d'actif cédés</t>
  </si>
  <si>
    <t>- 78 : Reprises sur amortissements, dépréciations et provisions (sauf 7817)</t>
  </si>
  <si>
    <t>- 775 : Produits des cessions d'éléments d'actif</t>
  </si>
  <si>
    <r>
      <t xml:space="preserve">= </t>
    </r>
    <r>
      <rPr>
        <b/>
        <sz val="12"/>
        <color indexed="17"/>
        <rFont val="Century Gothic"/>
        <family val="2"/>
      </rPr>
      <t>Capacité</t>
    </r>
    <r>
      <rPr>
        <sz val="12"/>
        <color indexed="8"/>
        <rFont val="Century Gothic"/>
        <family val="2"/>
      </rPr>
      <t xml:space="preserve"> ou</t>
    </r>
    <r>
      <rPr>
        <b/>
        <sz val="12"/>
        <color indexed="10"/>
        <rFont val="Century Gothic"/>
        <family val="2"/>
      </rPr>
      <t xml:space="preserve"> Insuffisance</t>
    </r>
    <r>
      <rPr>
        <sz val="12"/>
        <color indexed="8"/>
        <rFont val="Century Gothic"/>
        <family val="2"/>
      </rPr>
      <t xml:space="preserve"> d'autofinancement</t>
    </r>
  </si>
  <si>
    <t>La CAF doit être positive et supérieure au montant du remboursement des emprunts de la structure.</t>
  </si>
  <si>
    <t>* 365 jours</t>
  </si>
  <si>
    <t>Achats d'exploitation</t>
  </si>
  <si>
    <r>
      <rPr>
        <b/>
        <sz val="9"/>
        <color indexed="8"/>
        <rFont val="Century Gothic"/>
        <family val="2"/>
      </rPr>
      <t>Numérateur : Fournisseurs d'exploitation</t>
    </r>
    <r>
      <rPr>
        <sz val="9"/>
        <color indexed="8"/>
        <rFont val="Century Gothic"/>
        <family val="2"/>
      </rPr>
      <t xml:space="preserve"> =
Solde des comptes 401 "Fournisseurs"
</t>
    </r>
    <r>
      <rPr>
        <b/>
        <sz val="9"/>
        <color indexed="8"/>
        <rFont val="Century Gothic"/>
        <family val="2"/>
      </rPr>
      <t>Dénominateur : Achats d'exploitation =</t>
    </r>
    <r>
      <rPr>
        <sz val="9"/>
        <color indexed="8"/>
        <rFont val="Century Gothic"/>
        <family val="2"/>
      </rPr>
      <t xml:space="preserve">
Solde des comptes 60 "Achats et Variation des stocks"</t>
    </r>
  </si>
  <si>
    <r>
      <rPr>
        <u/>
        <sz val="10"/>
        <color indexed="30"/>
        <rFont val="Century Gothic"/>
        <family val="2"/>
      </rPr>
      <t>Comptes utilisés</t>
    </r>
    <r>
      <rPr>
        <sz val="10"/>
        <color indexed="30"/>
        <rFont val="Century Gothic"/>
        <family val="2"/>
      </rPr>
      <t xml:space="preserve"> :</t>
    </r>
  </si>
  <si>
    <r>
      <t>Comptes utilisés</t>
    </r>
    <r>
      <rPr>
        <sz val="10"/>
        <color indexed="30"/>
        <rFont val="Century Gothic"/>
        <family val="2"/>
      </rPr>
      <t xml:space="preserve"> :</t>
    </r>
  </si>
  <si>
    <t>Charges courantes annuelles</t>
  </si>
  <si>
    <r>
      <t xml:space="preserve">Numérateur : Fonds de roulement net global - FRNG =
</t>
    </r>
    <r>
      <rPr>
        <sz val="9"/>
        <color indexed="8"/>
        <rFont val="Century Gothic"/>
        <family val="2"/>
      </rPr>
      <t xml:space="preserve">Fonds de roulement d'investissement </t>
    </r>
    <r>
      <rPr>
        <i/>
        <sz val="9"/>
        <color indexed="8"/>
        <rFont val="Century Gothic"/>
        <family val="2"/>
      </rPr>
      <t xml:space="preserve">(voir comptes utilisés ci-dessus) </t>
    </r>
    <r>
      <rPr>
        <b/>
        <sz val="9"/>
        <color indexed="8"/>
        <rFont val="Century Gothic"/>
        <family val="2"/>
      </rPr>
      <t xml:space="preserve">+ </t>
    </r>
    <r>
      <rPr>
        <sz val="9"/>
        <color indexed="8"/>
        <rFont val="Century Gothic"/>
        <family val="2"/>
      </rPr>
      <t xml:space="preserve">Fonds de roulement d'exploitation </t>
    </r>
    <r>
      <rPr>
        <i/>
        <sz val="9"/>
        <color indexed="8"/>
        <rFont val="Century Gothic"/>
        <family val="2"/>
      </rPr>
      <t>(voir comptes utilisés ci-dessus)</t>
    </r>
    <r>
      <rPr>
        <b/>
        <sz val="9"/>
        <color indexed="8"/>
        <rFont val="Century Gothic"/>
        <family val="2"/>
      </rPr>
      <t xml:space="preserve">
Dénominateur : Charges courantes annuelles =
</t>
    </r>
    <r>
      <rPr>
        <sz val="9"/>
        <color indexed="8"/>
        <rFont val="Century Gothic"/>
        <family val="2"/>
      </rPr>
      <t>Solde des comptes 60 "Achats et variation des stocks"
Solde des comptes 61 "Services extérieurs"
Solde des comptes 62 "Autres services extérieurs"
Solde des comptes 63 "Impôts, taxes et versements assimilés"
Solde des comptes 64 "Charges de personnel"
Solde des comptes 65 "Autres charges de gestion courante"</t>
    </r>
  </si>
  <si>
    <t>durée d'utilisation 1ère année
(en mois)</t>
  </si>
  <si>
    <t>durée d'utilisation dernière année
(en moins)</t>
  </si>
  <si>
    <t>Amort.</t>
  </si>
  <si>
    <t>Amort 1ère année</t>
  </si>
  <si>
    <t>Amort dernière année</t>
  </si>
  <si>
    <t>Non renseigné</t>
  </si>
  <si>
    <t>-</t>
  </si>
  <si>
    <t>taux - durée de vie bien</t>
  </si>
  <si>
    <t>VNC fin N+1</t>
  </si>
  <si>
    <t>VNC fin N+2</t>
  </si>
  <si>
    <t>VNC fin N+3</t>
  </si>
  <si>
    <t>VNC fin N+4</t>
  </si>
  <si>
    <t>VNC fin N+5</t>
  </si>
  <si>
    <t>VNC fin N+6</t>
  </si>
  <si>
    <t>VNC fin N+7</t>
  </si>
  <si>
    <t>VNC fin N+8</t>
  </si>
  <si>
    <t>VNC fin N+9</t>
  </si>
  <si>
    <t>taux</t>
  </si>
  <si>
    <t>taux linéaire</t>
  </si>
  <si>
    <t>Etapes d'utilisation</t>
  </si>
  <si>
    <t>Fonds de roulement d'investissement</t>
  </si>
  <si>
    <t>Fonds de roulement d'exploitation</t>
  </si>
  <si>
    <t>Ratios du bilan financier</t>
  </si>
  <si>
    <t>Ratios liés à la dette</t>
  </si>
  <si>
    <t>Ratios liés à l'exploitation</t>
  </si>
  <si>
    <t>Ratios d'autofinancement</t>
  </si>
  <si>
    <t>- Lors d'investissements conséquents : il y a un décalage entre le moment où les amortissements sont comptabilisés, dès mise en service du bien, et la date de comptabilisation des actifs réalisés qui est annuelle.</t>
  </si>
  <si>
    <r>
      <t xml:space="preserve">BFR </t>
    </r>
    <r>
      <rPr>
        <sz val="10"/>
        <color indexed="30"/>
        <rFont val="Century Gothic"/>
        <family val="2"/>
      </rPr>
      <t>en euros</t>
    </r>
  </si>
  <si>
    <r>
      <t xml:space="preserve">FRNG </t>
    </r>
    <r>
      <rPr>
        <sz val="10"/>
        <color indexed="30"/>
        <rFont val="Century Gothic"/>
        <family val="2"/>
      </rPr>
      <t>en euros</t>
    </r>
  </si>
  <si>
    <t xml:space="preserve">Fonds de roulement net global </t>
  </si>
  <si>
    <t>FRNG en jours de charges courantes</t>
  </si>
  <si>
    <t>FRNG en euros</t>
  </si>
  <si>
    <t>BFR en jours de charges courantes</t>
  </si>
  <si>
    <t>BFR en euros</t>
  </si>
  <si>
    <t>TN en jours de charges courantes</t>
  </si>
  <si>
    <t>TN en euros</t>
  </si>
  <si>
    <t>Résultat de l'exercice
+ Valeurs comptables des éléments d'actif cédés
+ Dotations aux amortissements, dépréciations et provisions
- Produits des cessions d'éléments d'actif
- Quote-part des subventions d'investissement virées au résultat de l'exercice
- Reprises sur amortissements, dépréciations et provisions</t>
  </si>
  <si>
    <t>Total des charges de l'exercice</t>
  </si>
  <si>
    <t>Total des produits de l'exercice</t>
  </si>
  <si>
    <t>MENU</t>
  </si>
  <si>
    <t>Bilan financier</t>
  </si>
  <si>
    <t>SIG</t>
  </si>
  <si>
    <t>Restitutions_ratios</t>
  </si>
  <si>
    <t>Restitutions_ratios (2)</t>
  </si>
  <si>
    <t>Fiches indicateurs</t>
  </si>
  <si>
    <t>Durées amortissement</t>
  </si>
  <si>
    <t>endettement</t>
  </si>
  <si>
    <t>Ajouter boutons pour l'analyse prospective</t>
  </si>
  <si>
    <t>Comptes de résultat prévisionnels</t>
  </si>
  <si>
    <t>Analyse rétrospective</t>
  </si>
  <si>
    <r>
      <t>MENU</t>
    </r>
    <r>
      <rPr>
        <b/>
        <sz val="12"/>
        <color indexed="8"/>
        <rFont val="Century Gothic"/>
        <family val="2"/>
      </rPr>
      <t xml:space="preserve"> </t>
    </r>
  </si>
  <si>
    <t>Cptes de résultat prévisionnels</t>
  </si>
  <si>
    <t>Ajouter onglet de restitution analyse prospective</t>
  </si>
  <si>
    <r>
      <rPr>
        <u/>
        <sz val="10"/>
        <color indexed="23"/>
        <rFont val="Century Gothic"/>
        <family val="2"/>
      </rPr>
      <t>Calcul</t>
    </r>
    <r>
      <rPr>
        <sz val="10"/>
        <color indexed="23"/>
        <rFont val="Century Gothic"/>
        <family val="2"/>
      </rPr>
      <t xml:space="preserve"> : </t>
    </r>
  </si>
  <si>
    <r>
      <rPr>
        <u/>
        <sz val="10"/>
        <color indexed="23"/>
        <rFont val="Century Gothic"/>
        <family val="2"/>
      </rPr>
      <t>Comptes utilisés</t>
    </r>
    <r>
      <rPr>
        <sz val="10"/>
        <color indexed="23"/>
        <rFont val="Century Gothic"/>
        <family val="2"/>
      </rPr>
      <t xml:space="preserve"> : </t>
    </r>
  </si>
  <si>
    <r>
      <t>Définition</t>
    </r>
    <r>
      <rPr>
        <sz val="10"/>
        <color indexed="23"/>
        <rFont val="Century Gothic"/>
        <family val="2"/>
      </rPr>
      <t xml:space="preserve"> :</t>
    </r>
    <r>
      <rPr>
        <u/>
        <sz val="10"/>
        <color indexed="23"/>
        <rFont val="Century Gothic"/>
        <family val="2"/>
      </rPr>
      <t xml:space="preserve"> </t>
    </r>
  </si>
  <si>
    <r>
      <rPr>
        <u/>
        <sz val="10"/>
        <color indexed="23"/>
        <rFont val="Century Gothic"/>
        <family val="2"/>
      </rPr>
      <t>Interprétation</t>
    </r>
    <r>
      <rPr>
        <sz val="10"/>
        <color indexed="23"/>
        <rFont val="Century Gothic"/>
        <family val="2"/>
      </rPr>
      <t xml:space="preserve"> :</t>
    </r>
  </si>
  <si>
    <r>
      <rPr>
        <u/>
        <sz val="10"/>
        <color indexed="23"/>
        <rFont val="Century Gothic"/>
        <family val="2"/>
      </rPr>
      <t>Seuil d'alerte</t>
    </r>
    <r>
      <rPr>
        <sz val="10"/>
        <color indexed="23"/>
        <rFont val="Century Gothic"/>
        <family val="2"/>
      </rPr>
      <t xml:space="preserve"> :</t>
    </r>
  </si>
  <si>
    <t>Détailler le résultat</t>
  </si>
  <si>
    <r>
      <rPr>
        <b/>
        <sz val="9"/>
        <color indexed="8"/>
        <rFont val="Century Gothic"/>
        <family val="2"/>
      </rPr>
      <t xml:space="preserve">Numérateur : Encours de la dette =
</t>
    </r>
    <r>
      <rPr>
        <sz val="9"/>
        <color indexed="8"/>
        <rFont val="Century Gothic"/>
        <family val="2"/>
      </rPr>
      <t xml:space="preserve">Solde créditeur des comptes 16 "Emprunts et dettes assimilées" - hors compte 1688 "Intérêts courus" et 169 "Primes de remboursement des obligations"
</t>
    </r>
    <r>
      <rPr>
        <b/>
        <sz val="9"/>
        <color indexed="8"/>
        <rFont val="Century Gothic"/>
        <family val="2"/>
      </rPr>
      <t xml:space="preserve">Dénominateur : CAF =
</t>
    </r>
    <r>
      <rPr>
        <sz val="9"/>
        <color indexed="8"/>
        <rFont val="Century Gothic"/>
        <family val="2"/>
      </rPr>
      <t xml:space="preserve">Solde du compte 12 "Résultat de l'exercice"
+ Solde du compte 675 "Valeurs comptables des éléments d'actif cédés"
+ Solde des comptes 68 "Dotations aux amortissements, dépréciations et provisions"
- Solde du compte 775 "Produits des cessions d'éléments d'actif"
- Solde du compte 777 "Quote-part des subventions d'investissement virées au résultat de l'exercice"
- Solde des comptes 78 "Reprises sur amortissements, dépréciations et provisions"
</t>
    </r>
  </si>
  <si>
    <r>
      <rPr>
        <b/>
        <sz val="9"/>
        <color indexed="8"/>
        <rFont val="Century Gothic"/>
        <family val="2"/>
      </rPr>
      <t xml:space="preserve">Numérateur : Encours de la dette =
</t>
    </r>
    <r>
      <rPr>
        <sz val="9"/>
        <color indexed="8"/>
        <rFont val="Century Gothic"/>
        <family val="2"/>
      </rPr>
      <t xml:space="preserve">Solde créditeur des comptes 16 "Emprunts et dettes assimilées" - hors compte 1688 "Intérêts courus" et 169 "Primes de remboursement des obligations"
</t>
    </r>
    <r>
      <rPr>
        <b/>
        <sz val="9"/>
        <color indexed="8"/>
        <rFont val="Century Gothic"/>
        <family val="2"/>
      </rPr>
      <t>Dénominateur : Total des produits toutes activités confondues =</t>
    </r>
    <r>
      <rPr>
        <sz val="9"/>
        <color indexed="8"/>
        <rFont val="Century Gothic"/>
        <family val="2"/>
      </rPr>
      <t xml:space="preserve">
Solde créditeur des comptes 7 (tous budgets confondus) - hors compte 7087 "Remboursement de frais par les budgets annexes" (M22) / "Remboursement de frais par le CRPP et les autres CRPA" (M21)</t>
    </r>
  </si>
  <si>
    <t>- (64 : Charges de personnel + 621: Personnel extérieur à l'établissement)</t>
  </si>
  <si>
    <r>
      <t xml:space="preserve">Excédent brut d'exploitation </t>
    </r>
    <r>
      <rPr>
        <sz val="10"/>
        <color indexed="23"/>
        <rFont val="Century Gothic"/>
        <family val="2"/>
      </rPr>
      <t>(€)</t>
    </r>
  </si>
  <si>
    <r>
      <t xml:space="preserve">Résultat d'exploitation </t>
    </r>
    <r>
      <rPr>
        <sz val="10"/>
        <color indexed="23"/>
        <rFont val="Century Gothic"/>
        <family val="2"/>
      </rPr>
      <t>(€)</t>
    </r>
  </si>
  <si>
    <r>
      <t xml:space="preserve">Résultat courant </t>
    </r>
    <r>
      <rPr>
        <sz val="10"/>
        <color indexed="23"/>
        <rFont val="Century Gothic"/>
        <family val="2"/>
      </rPr>
      <t>(€)</t>
    </r>
  </si>
  <si>
    <r>
      <t xml:space="preserve">Résultat exceptionnel </t>
    </r>
    <r>
      <rPr>
        <sz val="10"/>
        <color indexed="23"/>
        <rFont val="Century Gothic"/>
        <family val="2"/>
      </rPr>
      <t>(€)</t>
    </r>
  </si>
  <si>
    <r>
      <t xml:space="preserve">Résultat net </t>
    </r>
    <r>
      <rPr>
        <sz val="10"/>
        <color indexed="23"/>
        <rFont val="Century Gothic"/>
        <family val="2"/>
      </rPr>
      <t>(€)</t>
    </r>
  </si>
  <si>
    <t>Solde créditeur des comptes 70 "Produits" hors 7087 "Produits des activités annexes" (M22) / "Remboursement de frais par le CRPP et les autres CRPA" (M21)
Solde créditeur des comptes 71 "Production stockée"
Solde créditeur des comptes 72 "Production immobilisée"
Solde créditeur des comptes 73 "Dotations et produits de la tarification"
Solde créditeur des comptes 74 "Subventions d'exploitation et participations"
Solde débiteur des comptes 60 "Achats et variation des stocks" - hors compte 609 "Rabais, remises et ristournes sur achats" et 602 "Achats stockés : autres approvisionnements"
Solde débiteur des comptes 61 "Services extérieurs"
Solde débiteur des comptes 62 "Autres services extérieurs" -hors 628 "Prestations de services à caractère non médical"
Solde débiteur des comptes 63 "Impôts, taxes et versements assimilés"
Solde débiteur des comptes 64 "Charges de personnel"</t>
  </si>
  <si>
    <t>Excédent brut d'exploitation
+ Autres produits de gestion courante
+ Reprises sur amortissements, dépréciations et provisions : produits d'exploitation
- Dotations aux amortissements, aux dépréciations et aux provisions : charges d'exploitation
- Autres charges de gestion courante</t>
  </si>
  <si>
    <t>Résultat d'exploitation
+ Produits financiers
+ Reprises sur dépréciations et provisions
- Charges financières
- Dotations aux amortissements, aux dépréciations et aux provisions : charges financières</t>
  </si>
  <si>
    <t>Solde créditeur des comptes 76 "Produits financiers"
Solde créditeur des comptes 786 "Reprises sur dépréciations et provisions : produits financiers"
Solde débiteur des comptes 66 "Charges financières"
Solde débiteur des comptes 686 "Dotations aux amortissements, aux dépréciations et aux provisions : charges financières"</t>
  </si>
  <si>
    <t>- 687 : Dotations aux amortissements, aux dépréciations et aux provisions : charges exceptionnelles</t>
  </si>
  <si>
    <t>Comptes utilisés pour le calcul du résultat courant : 76, 786, 66 et 686
Comptes utilisés pour le calcul du résultat exceptionnel : 77, 787, 67 et 687
Solde créditeur des comptes de la classe 7
Solde débiteur des comptes de la classe 6</t>
  </si>
  <si>
    <t>Le résultat net correspond au résultat de l'exercice.
Il est égal à la différence entre l'ensemble des produits de l'exercice et l'ensemble des charges de l'exercice. Il peut également être calculé en sommant le résultat courant et le résultat exceptionnel.</t>
  </si>
  <si>
    <t>Produits exceptionnels
+ Reprises sur dépréciations et provisions : produits exceptionnels
- Charges exceptionnelles
- Dotations aux amortissements, aux dépréciations et aux provisions : charges exceptionnelles</t>
  </si>
  <si>
    <t>Compte financier - données du compte de résultat</t>
  </si>
  <si>
    <t>VARIATION  DU FONDS DE ROULEMENT D'INVESTISSEMENT (FRI)</t>
  </si>
  <si>
    <t>R E S S O U R C E S</t>
  </si>
  <si>
    <t>Augmentation des fonds propres (associatifs ou apports)</t>
  </si>
  <si>
    <t xml:space="preserve">Réserves des plus-values nettes (établissements publics) </t>
  </si>
  <si>
    <t>Subventions d'investissement</t>
  </si>
  <si>
    <t>Excédents ou réserve de trésorerie affectés à l'investissement</t>
  </si>
  <si>
    <t>Provisions réglementées pour renouvellement des immobilisations</t>
  </si>
  <si>
    <t>Plus-values de cessions d'actifs / Dons et legs en capital</t>
  </si>
  <si>
    <t>Autres dettes financières (dont dépôts et cautionnements reçus…)</t>
  </si>
  <si>
    <t>Amortissements des acquisitions du plan</t>
  </si>
  <si>
    <t xml:space="preserve">      - Constructions (bâtiments)</t>
  </si>
  <si>
    <t xml:space="preserve">      - Agencements installations</t>
  </si>
  <si>
    <t xml:space="preserve">      - Matériel-outillage, équipements mobiliers</t>
  </si>
  <si>
    <t xml:space="preserve">      - Autres immobilisations</t>
  </si>
  <si>
    <t>Amortissements des charges à répartir sur plusieurs exercices</t>
  </si>
  <si>
    <t>E M P L O I S</t>
  </si>
  <si>
    <t>Subventions d'investissement inscrites au compte de résultat</t>
  </si>
  <si>
    <t>Reprises sur les réserves de compensation des charges d'amortissement</t>
  </si>
  <si>
    <t>Reprise sur les provisions pour renouvellement des immobilisations</t>
  </si>
  <si>
    <t>Remboursement des emprunts antérieurs</t>
  </si>
  <si>
    <t>Remboursement des emprunts prévus au plan</t>
  </si>
  <si>
    <t>Investissements prévus au plan</t>
  </si>
  <si>
    <t>Charges à répartir sur plusieurs exercices</t>
  </si>
  <si>
    <t>VARIATION NETTE DU FRI (A - B) = C</t>
  </si>
  <si>
    <t>FRI INITIAL = D</t>
  </si>
  <si>
    <t>FRI CUMULE = D + C = E</t>
  </si>
  <si>
    <t xml:space="preserve">VARIATION DU FONDS DE ROULEMENT D'EXPLOITATION   (FRE) </t>
  </si>
  <si>
    <t>Excédent et provision affectés à la couverture du BFR</t>
  </si>
  <si>
    <t>Dotations aux provisions pour risques et charges</t>
  </si>
  <si>
    <t>Reprise des déficits d'exploitation</t>
  </si>
  <si>
    <t>Autres (dont variations des droits acquis non provisionnés)</t>
  </si>
  <si>
    <t>Comptes de liaison trésorerie</t>
  </si>
  <si>
    <t>Reprise à l'investissement des réserves de trésorerie (art. R.314-48 CASF)</t>
  </si>
  <si>
    <t>Reprise sur les réserves de compensation des déficits</t>
  </si>
  <si>
    <t>Reprise sur les provisions  pour risques et charges</t>
  </si>
  <si>
    <t>Reprise des excédents :</t>
  </si>
  <si>
    <t xml:space="preserve">     - affecté aux mesures d'exploitation</t>
  </si>
  <si>
    <t>Reprise sur fonds dédiés</t>
  </si>
  <si>
    <t xml:space="preserve">Comptes de liaison trésorerie </t>
  </si>
  <si>
    <t>VARIATION NETTE DU FRE = (F - G) = H</t>
  </si>
  <si>
    <t>FRE INITIAL  = I</t>
  </si>
  <si>
    <t>FRE CUMULE  = I + H = J</t>
  </si>
  <si>
    <t>FONDS DE ROULEMENT NET GLOBAL CUMULE  (E + J)</t>
  </si>
  <si>
    <t>VARIATION DU BESOIN EN FONDS DE ROULEMENT (BFR)</t>
  </si>
  <si>
    <t>A U G M E N T A T I O N S</t>
  </si>
  <si>
    <t>Stocks : rotation plus lente</t>
  </si>
  <si>
    <t>Stocks : effet volume et/ou prix</t>
  </si>
  <si>
    <t>Créances : allongement des délais de paiement et/ou effet volume/prix</t>
  </si>
  <si>
    <t>Dettes : diminution (volume et/ou prix) ou accélération des délais de réglement</t>
  </si>
  <si>
    <t>Reprises sur dépréciations des actifs circulants</t>
  </si>
  <si>
    <t>Autres postes d'augmentations (congés payés…)</t>
  </si>
  <si>
    <t>Comptes de liaison (cycle d'exploitation)</t>
  </si>
  <si>
    <t>D I M I N U T I O N S</t>
  </si>
  <si>
    <t>Réduction des stocks</t>
  </si>
  <si>
    <t>Dettes : allongement des délais de règlement et ou effet volume prix.</t>
  </si>
  <si>
    <t>Dotations aux dépréciations des actifs circulants</t>
  </si>
  <si>
    <t>Autres postes de diminutions (congés payés…)</t>
  </si>
  <si>
    <t>VARIATION NETTE DU BFR = (K - L) = M</t>
  </si>
  <si>
    <t>BFR INITIAL  = N</t>
  </si>
  <si>
    <t>BFR CUMULE = N + M = O</t>
  </si>
  <si>
    <t>VARIATION NETTE DE LA TRESORERIE = C + H - M = P</t>
  </si>
  <si>
    <t xml:space="preserve">TRESORERIE INITIALE </t>
  </si>
  <si>
    <t>TRESORERIE NETTE EN FIN DE PERIODE</t>
  </si>
  <si>
    <t>(estimations des montants à ajouter en fin d'année )</t>
  </si>
  <si>
    <t>Montant minimum de liquidité nécessaires</t>
  </si>
  <si>
    <t>Liquidités minimales souhaitées</t>
  </si>
  <si>
    <t>LIQUIDITES EN FIN DE PERIODE</t>
  </si>
  <si>
    <r>
      <t xml:space="preserve">Autres postes </t>
    </r>
    <r>
      <rPr>
        <sz val="10"/>
        <color indexed="8"/>
        <rFont val="Century Gothic"/>
        <family val="2"/>
      </rPr>
      <t>( fonds des majeurs protégés,…)</t>
    </r>
  </si>
  <si>
    <t>Plan Pluriannuel de Financement</t>
  </si>
  <si>
    <t>rajouter les SIG</t>
  </si>
  <si>
    <t>MAJ en-cours des fiches SIG</t>
  </si>
  <si>
    <t>plan pluriannuel de financement</t>
  </si>
  <si>
    <t>Ajouter onglet pour calculer des emprunts ?</t>
  </si>
  <si>
    <t>MAJ fiches SIG (pas de résultat en %) - recadrer les points i</t>
  </si>
  <si>
    <t>ajouter des formules : calcul des soldes + reprendre données des investissements du PPI (revoir bug formules SOMME.SI.ENS)</t>
  </si>
  <si>
    <r>
      <t xml:space="preserve">FRI </t>
    </r>
    <r>
      <rPr>
        <sz val="9"/>
        <color indexed="30"/>
        <rFont val="Century Gothic"/>
        <family val="2"/>
      </rPr>
      <t>en %</t>
    </r>
  </si>
  <si>
    <r>
      <t xml:space="preserve">FRI </t>
    </r>
    <r>
      <rPr>
        <sz val="9"/>
        <color indexed="30"/>
        <rFont val="Century Gothic"/>
        <family val="2"/>
      </rPr>
      <t>en valeur</t>
    </r>
  </si>
  <si>
    <r>
      <t xml:space="preserve">Besoin en fonds de roulement </t>
    </r>
    <r>
      <rPr>
        <u/>
        <sz val="11"/>
        <color indexed="30"/>
        <rFont val="Century Gothic"/>
        <family val="2"/>
      </rPr>
      <t>ou</t>
    </r>
    <r>
      <rPr>
        <b/>
        <sz val="11"/>
        <color indexed="30"/>
        <rFont val="Century Gothic"/>
        <family val="2"/>
      </rPr>
      <t xml:space="preserve"> Excédent en Fonds de roulement</t>
    </r>
  </si>
  <si>
    <r>
      <t xml:space="preserve">Excédent </t>
    </r>
    <r>
      <rPr>
        <sz val="10"/>
        <color indexed="30"/>
        <rFont val="Century Gothic"/>
        <family val="2"/>
      </rPr>
      <t>en euros</t>
    </r>
  </si>
  <si>
    <r>
      <t xml:space="preserve">FRE </t>
    </r>
    <r>
      <rPr>
        <sz val="9"/>
        <color indexed="30"/>
        <rFont val="Century Gothic"/>
        <family val="2"/>
      </rPr>
      <t>en valeur</t>
    </r>
  </si>
  <si>
    <t>Autres immobilisations</t>
  </si>
  <si>
    <t>Total des amortissements par catégorie d'investissement</t>
  </si>
  <si>
    <t>Matériel-Outillage, Equipements mobiliers</t>
  </si>
  <si>
    <t>Agencements et installations (IGAAC)</t>
  </si>
  <si>
    <t>Excédent brut d'exploitation - EBE</t>
  </si>
  <si>
    <t>Simulation d'emprunt à taux constant</t>
  </si>
  <si>
    <t>Remboursement par annuité constante</t>
  </si>
  <si>
    <t>Remboursement par amortissement constant du capital</t>
  </si>
  <si>
    <t>Échéance</t>
  </si>
  <si>
    <t>Capital restant dû</t>
  </si>
  <si>
    <t>Intérêt</t>
  </si>
  <si>
    <t>Amortissement</t>
  </si>
  <si>
    <t>Annuité</t>
  </si>
  <si>
    <t>Remboursement in fine</t>
  </si>
  <si>
    <r>
      <t xml:space="preserve">Durée </t>
    </r>
    <r>
      <rPr>
        <i/>
        <sz val="11"/>
        <color indexed="8"/>
        <rFont val="Century Gothic"/>
        <family val="2"/>
      </rPr>
      <t xml:space="preserve">(en années) </t>
    </r>
    <r>
      <rPr>
        <b/>
        <sz val="12"/>
        <color indexed="8"/>
        <rFont val="Century Gothic"/>
        <family val="2"/>
      </rPr>
      <t>:</t>
    </r>
  </si>
  <si>
    <t>Simulation d'emprunt</t>
  </si>
  <si>
    <t>3 types d'emprunts</t>
  </si>
  <si>
    <t>Taux d'intérêt * Capital emprunté</t>
  </si>
  <si>
    <t>Le montant des intérêts payés chaque année est calculé sur la base du capital restant dû en début d'année.</t>
  </si>
  <si>
    <r>
      <rPr>
        <b/>
        <sz val="10"/>
        <color indexed="8"/>
        <rFont val="Century Gothic"/>
        <family val="2"/>
      </rPr>
      <t>Calcul de l'annuité</t>
    </r>
    <r>
      <rPr>
        <sz val="10"/>
        <color indexed="8"/>
        <rFont val="Century Gothic"/>
        <family val="2"/>
      </rPr>
      <t xml:space="preserve"> :</t>
    </r>
  </si>
  <si>
    <t>Calcul de l'amortissement :</t>
  </si>
  <si>
    <t>Capital emprunté</t>
  </si>
  <si>
    <t>Capital emprunté :</t>
  </si>
  <si>
    <t>Annuité :</t>
  </si>
  <si>
    <t>Capital restant dû :</t>
  </si>
  <si>
    <t>Capital restant dû N+1 = Capital restant dû N - Amortissement de N</t>
  </si>
  <si>
    <t>Avec cette technique de remboursement, le montant de l'annuité sera dégressif année après année.</t>
  </si>
  <si>
    <t>L'amortissement annuel de l'emprunt est égal à la différence entre l'annuité et le montant des intérêts de l'année ; l'amortissement sera croissant.</t>
  </si>
  <si>
    <t>Amortissement :</t>
  </si>
  <si>
    <t>Intérêts :</t>
  </si>
  <si>
    <t>Le montant de l'emprunt souscrit à l'instant 0.</t>
  </si>
  <si>
    <t>Le montant du remboursement annuel de l'emprunt.</t>
  </si>
  <si>
    <t>Le montant du capital restant à rembourser en début d'année :</t>
  </si>
  <si>
    <t>Le remboursement progressif du capital emprunté.</t>
  </si>
  <si>
    <t>Le montant des intêrets est calculé sur le capital restant dû.</t>
  </si>
  <si>
    <r>
      <rPr>
        <b/>
        <sz val="9"/>
        <color indexed="8"/>
        <rFont val="Century Gothic"/>
        <family val="2"/>
      </rPr>
      <t xml:space="preserve">Numérateur  : Résultat d'exploitation =
</t>
    </r>
    <r>
      <rPr>
        <sz val="9"/>
        <color indexed="8"/>
        <rFont val="Century Gothic"/>
        <family val="2"/>
      </rPr>
      <t xml:space="preserve">Solde créditeur des comptes 70 "Produits" (M22) / "Ventes de produits fabriqués, prestations de services, marchandises et produits des activités annexes" (M21) </t>
    </r>
    <r>
      <rPr>
        <b/>
        <u/>
        <sz val="9"/>
        <color indexed="8"/>
        <rFont val="Century Gothic"/>
        <family val="2"/>
      </rPr>
      <t>hors</t>
    </r>
    <r>
      <rPr>
        <sz val="9"/>
        <color indexed="8"/>
        <rFont val="Century Gothic"/>
        <family val="2"/>
      </rPr>
      <t xml:space="preserve"> compte 7087 "Produits des activités annexes" (M22) / "Remboursements de frais par le CRPP et les autres CRPA" (M21)
+ Solde créditeur des comptes 71 "Production stockée"
+ Solde créditeur des comptes 72 "Production immobilisée"
+ Solde créditeur des comptes 73 "Dotations et produits de tarification"
+ Solde créditeur des comptes 74 "Subventions d'exploitation et participations"
+ Solde créditeur des comptes 75 "Autres produits de gestion courante"
</t>
    </r>
    <r>
      <rPr>
        <sz val="9"/>
        <color indexed="10"/>
        <rFont val="Century Gothic"/>
        <family val="2"/>
      </rPr>
      <t>Moins débits... (après retraitement des remboursements des budgets annexes)</t>
    </r>
    <r>
      <rPr>
        <sz val="9"/>
        <color indexed="8"/>
        <rFont val="Century Gothic"/>
        <family val="2"/>
      </rPr>
      <t xml:space="preserve">
- Solde débiteur des comptes 60 "Achats et variations des stocks" (M22) / "Achats" (M21)
- Solde débiteur des comptes 61 "Services extérieurs"
- Solde débiteur des comptes 62 "Autres services extérieurs"
- Solde débiteur des comptes 63 "Impôts, taxes et versements assimilés"
- Solde débiteur des comptes 64 "Charges de personnel"
- Solde débiteur des comptes 65 "Autres charges de gestion courante"
</t>
    </r>
    <r>
      <rPr>
        <b/>
        <sz val="9"/>
        <color indexed="8"/>
        <rFont val="Century Gothic"/>
        <family val="2"/>
      </rPr>
      <t xml:space="preserve">Dénominateur : Total des produits d'exploitation =
</t>
    </r>
    <r>
      <rPr>
        <sz val="9"/>
        <color indexed="8"/>
        <rFont val="Century Gothic"/>
        <family val="2"/>
      </rPr>
      <t>Solde créditeur des comptes 70 "Produits" (M22) / "Ventes de produits fabriqués, prestations de services, marchandises et produits des activités annexes" (M21) hors compte 7087 "Produits des activités annexes" (M22) / "Remboursements de frais par le CRPP et les autres CRPA"
+ Solde créditeur des comptes 71 "Production stockée"
+ Solde créditeur des comptes 72 "Production immobilisée"
+ Solde créditeur des comptes 73 "Dotations et produits de tarification"
+ Solde créditeur des comptes 74 "Subventions d'exploitation et participations"
+ Solde créditeur des comptes 75 "Autres produits de gestion courante"</t>
    </r>
  </si>
  <si>
    <r>
      <t xml:space="preserve">On interprétera le délai de rotation des créances d'exploitation ainsi : </t>
    </r>
    <r>
      <rPr>
        <i/>
        <sz val="9"/>
        <color indexed="8"/>
        <rFont val="Century Gothic"/>
        <family val="2"/>
      </rPr>
      <t>"Les créanciers de la structure règlent en moyenne leurs dus dans les X jours."
Ce ratio permet d'apprécier le risque d'impayés et donc de pertes futures ; il mesure la performance actuelle de l'organisation liée à la facturation et au recouvrement dans l'établissement.</t>
    </r>
  </si>
  <si>
    <t>Le délai de rotation des dettes d'exploitation permet d'estimer le délai moyen de paiement des dettes fournisseurs.</t>
  </si>
  <si>
    <t>On observe avec le taux de marge brute, la marge qui permettra de financer les charges financières, d'amortissements, de provisions de l'ESMS.
Un taux insuffisant témoigne de l'incapacité de l'établissement à couvrir ses investissements actuels et futurs, et leur financement.</t>
  </si>
  <si>
    <t>Coût total emprunt :</t>
  </si>
  <si>
    <t>Année N+1</t>
  </si>
  <si>
    <t>Année N+2</t>
  </si>
  <si>
    <t>Année N+3</t>
  </si>
  <si>
    <t>Année N+4</t>
  </si>
  <si>
    <t>Année N+5</t>
  </si>
  <si>
    <t>Année N+6</t>
  </si>
  <si>
    <t>Année N+7</t>
  </si>
  <si>
    <t>Année N+8</t>
  </si>
  <si>
    <t>Année N+9</t>
  </si>
  <si>
    <t>TOTAL AMORTISSEMENTS</t>
  </si>
  <si>
    <t>TOTAL
Amortissements dégressifs</t>
  </si>
  <si>
    <t>TOTAL
Amortissements linéaires</t>
  </si>
  <si>
    <r>
      <rPr>
        <b/>
        <u/>
        <sz val="10"/>
        <color indexed="10"/>
        <rFont val="Century Gothic"/>
        <family val="2"/>
      </rPr>
      <t>Rappel</t>
    </r>
    <r>
      <rPr>
        <b/>
        <sz val="10"/>
        <color indexed="10"/>
        <rFont val="Century Gothic"/>
        <family val="2"/>
      </rPr>
      <t xml:space="preserve"> :
Tome 2 - M21 : LE CADRE BUDGETAIRE ET LES OPERATIONS COMPTABLES PARTICULIERES
</t>
    </r>
    <r>
      <rPr>
        <sz val="8"/>
        <color indexed="10"/>
        <rFont val="Century Gothic"/>
        <family val="2"/>
      </rPr>
      <t>Les amortissements sont définis comme la constatation comptable d’un amoindrissement de la valeur d’un élément d’actif résultant de l’usage, du temps, du changement des techniques ou de toute autre cause dont les effets sont jugés irréversibles.
En pratique, ils consistent généralement à étaler, sur une durée probable de vie, la valeur des biens, suivant un plan d’amortissement préétabli. Un plan d’amortissement doit être adopté par l’ordonnateur au moment de la mise en service de l’immobilisation. Il fixe la durée (ou taux) ainsi que la méthode de calcul retenues pour chaque immobilisation à amortir.
Les taux sont fixés par l’ordonnateur en fonction du rythme de consommation du potentiel de service de l’actif (durée d’utilisation de l’immobilisation).
Lorsqu’une durée a été choisie, elle doit être identique pour une même catégorie de biens utilisés dans des conditions similaires.</t>
    </r>
  </si>
  <si>
    <t>Taux d'intérêt :</t>
  </si>
  <si>
    <t>Analyse prospective</t>
  </si>
  <si>
    <r>
      <t xml:space="preserve">Le FRE peut être calculé et interprété en valeur (€).
</t>
    </r>
    <r>
      <rPr>
        <sz val="9"/>
        <color indexed="10"/>
        <rFont val="Century Gothic"/>
        <family val="2"/>
      </rPr>
      <t xml:space="preserve">! Attention ! </t>
    </r>
    <r>
      <rPr>
        <sz val="9"/>
        <color indexed="8"/>
        <rFont val="Century Gothic"/>
        <family val="2"/>
      </rPr>
      <t xml:space="preserve">Si le </t>
    </r>
    <r>
      <rPr>
        <u/>
        <sz val="9"/>
        <color indexed="8"/>
        <rFont val="Century Gothic"/>
        <family val="2"/>
      </rPr>
      <t xml:space="preserve">FRE est </t>
    </r>
    <r>
      <rPr>
        <b/>
        <u/>
        <sz val="9"/>
        <color indexed="8"/>
        <rFont val="Century Gothic"/>
        <family val="2"/>
      </rPr>
      <t>négatif</t>
    </r>
    <r>
      <rPr>
        <sz val="9"/>
        <color indexed="8"/>
        <rFont val="Century Gothic"/>
        <family val="2"/>
      </rPr>
      <t>, la situation est préoccupante car :
- elle peut être due à un cumul de déficits,
- le solde des caisses pivot est plus élevé que celui des réserves de trésorerie,
- cela peut signifier que les provisions étant trop faibles, le report à nouveau déficitaire ou le résultat déficitaire consomme pour partie les ressources nécessaires pour couvrir le BFR.</t>
    </r>
  </si>
  <si>
    <t>Produits bruts d'exploitation</t>
  </si>
  <si>
    <t xml:space="preserve">73 : Dotations et produits de tarification </t>
  </si>
  <si>
    <t>72 : Production immobilisée</t>
  </si>
  <si>
    <t>71 : Production stockée</t>
  </si>
  <si>
    <t>70 : Produits (hors 7087)</t>
  </si>
  <si>
    <t xml:space="preserve">61 : Services extérieurs </t>
  </si>
  <si>
    <t>Consommations intermédiaires</t>
  </si>
  <si>
    <r>
      <t xml:space="preserve">Le résultat d'exploitation mesure la capacité de l'établissement ou le service à générer des ressources grâce à son activité principale </t>
    </r>
    <r>
      <rPr>
        <i/>
        <sz val="9"/>
        <color indexed="23"/>
        <rFont val="Century Gothic"/>
        <family val="2"/>
      </rPr>
      <t>(hors opérations financières et exceptionnelles).</t>
    </r>
  </si>
  <si>
    <t xml:space="preserve">A ce niveau d'analyse, résultat d'exploitation, on peut comparer les établissements entre eux puisque les choix liés au financement des investissements n'entrent pas dans le périmètre du calcul.
On obtient le résultat d'exploitation en observant les opérations liées à l'exploitation, à l'activité propre de la structure : l'activité d'accueil, d'accompagnement et de soins des résidents/usagers. Le résultat d'exploitation est calculé principalement grâce aux produits de l'activité (dotations) et aux charges du facteur travail (charges de personnel).
</t>
  </si>
  <si>
    <t>Le résultat courant va mettre en lumière l'impact des opérations financières de l'établissement, de ses choix financiers, sur son résultat : observer l'impact de la stratégie de financement des investissements, de la gestion de la trésorerie. Observer l'effet de l'endettement sur les charges et les produits.</t>
  </si>
  <si>
    <t>Expliquer le résultat net</t>
  </si>
  <si>
    <t>L'EBE est un indicateur de performance économique ; plus celui-ci est élevé, plus la structure est performante.</t>
  </si>
  <si>
    <t>Le résultat exceptionnel équivaut au solde des opérations exceptionnelles : charges et produits non liés à l'activité courante ni aux éléments financiers.
Il est calculé indépendamment des autres soldes intermédiaires de gestion.
Il est l'un des composants du résultat net.</t>
  </si>
  <si>
    <r>
      <t>Interprétation</t>
    </r>
    <r>
      <rPr>
        <sz val="10"/>
        <color indexed="23"/>
        <rFont val="Century Gothic"/>
        <family val="2"/>
      </rPr>
      <t xml:space="preserve"> :</t>
    </r>
  </si>
  <si>
    <t>Etant l'un des composants du résultat net, il expliquera alors la formation de ce dernier : si le résultat exceptionnel représente plus de la moitié du résultat net, cela montre que le montant du résultat net est fortement lié à des évènements exceptionnels.</t>
  </si>
  <si>
    <r>
      <t>Total =</t>
    </r>
    <r>
      <rPr>
        <b/>
        <i/>
        <sz val="11"/>
        <rFont val="Century Gothic"/>
        <family val="2"/>
      </rPr>
      <t xml:space="preserve"> A</t>
    </r>
  </si>
  <si>
    <r>
      <t xml:space="preserve">Total = </t>
    </r>
    <r>
      <rPr>
        <b/>
        <i/>
        <sz val="11"/>
        <rFont val="Century Gothic"/>
        <family val="2"/>
      </rPr>
      <t>B</t>
    </r>
  </si>
  <si>
    <r>
      <t>Total =</t>
    </r>
    <r>
      <rPr>
        <b/>
        <i/>
        <sz val="11"/>
        <rFont val="Century Gothic"/>
        <family val="2"/>
      </rPr>
      <t xml:space="preserve"> F</t>
    </r>
  </si>
  <si>
    <r>
      <t>Total =</t>
    </r>
    <r>
      <rPr>
        <b/>
        <i/>
        <sz val="11"/>
        <rFont val="Century Gothic"/>
        <family val="2"/>
      </rPr>
      <t xml:space="preserve"> G</t>
    </r>
  </si>
  <si>
    <r>
      <t>Total =</t>
    </r>
    <r>
      <rPr>
        <b/>
        <i/>
        <sz val="11"/>
        <rFont val="Century Gothic"/>
        <family val="2"/>
      </rPr>
      <t xml:space="preserve"> K</t>
    </r>
  </si>
  <si>
    <r>
      <t xml:space="preserve">Total = </t>
    </r>
    <r>
      <rPr>
        <b/>
        <i/>
        <sz val="11"/>
        <rFont val="Century Gothic"/>
        <family val="2"/>
      </rPr>
      <t>L</t>
    </r>
  </si>
  <si>
    <t>Dettes fournisseurs d'immobilisations</t>
  </si>
  <si>
    <t xml:space="preserve">     - à la réduction des charges d'exploitation</t>
  </si>
  <si>
    <t>Ratio d'exploitation</t>
  </si>
  <si>
    <t>Compte de résultat N + Prévisionnels pluriannuelles</t>
  </si>
  <si>
    <t>Résultat prévisionnel de l'exercice</t>
  </si>
  <si>
    <t>Evolution du résultat net par rapport à l'exercice précédent (%)</t>
  </si>
  <si>
    <t>Evolution du délai de rotation des dettes d'exploitation par rapport à l'exercice précédent (%)</t>
  </si>
  <si>
    <t>Evolution du délai de rotation des créances d'exploitation par rapport à l'exercice précédent (%)</t>
  </si>
  <si>
    <t>Observer le résultat net comptable de la structure</t>
  </si>
  <si>
    <r>
      <rPr>
        <u/>
        <sz val="10"/>
        <color indexed="10"/>
        <rFont val="Century Gothic"/>
        <family val="2"/>
      </rPr>
      <t>Consigne</t>
    </r>
    <r>
      <rPr>
        <sz val="10"/>
        <color indexed="10"/>
        <rFont val="Century Gothic"/>
        <family val="2"/>
      </rPr>
      <t xml:space="preserve"> :
</t>
    </r>
    <r>
      <rPr>
        <b/>
        <sz val="10"/>
        <color indexed="10"/>
        <rFont val="Century Gothic"/>
        <family val="2"/>
      </rPr>
      <t>Complétez :</t>
    </r>
    <r>
      <rPr>
        <sz val="10"/>
        <color indexed="10"/>
        <rFont val="Century Gothic"/>
        <family val="2"/>
      </rPr>
      <t xml:space="preserve">
- le montant de l'emprunt
- le taux d'intérêt = TAEG : Taux Annuel Effectif Global
- la durée de l'emprunt </t>
    </r>
    <r>
      <rPr>
        <sz val="9"/>
        <color indexed="10"/>
        <rFont val="Century Gothic"/>
        <family val="2"/>
      </rPr>
      <t>(maximum 40 annuités)</t>
    </r>
  </si>
  <si>
    <r>
      <rPr>
        <b/>
        <u/>
        <sz val="9"/>
        <rFont val="Century Gothic"/>
        <family val="2"/>
      </rPr>
      <t>Utilisateurs</t>
    </r>
    <r>
      <rPr>
        <b/>
        <sz val="9"/>
        <rFont val="Century Gothic"/>
        <family val="2"/>
      </rPr>
      <t xml:space="preserve"> :</t>
    </r>
    <r>
      <rPr>
        <b/>
        <sz val="9"/>
        <color indexed="30"/>
        <rFont val="Century Gothic"/>
        <family val="2"/>
      </rPr>
      <t xml:space="preserve">
</t>
    </r>
    <r>
      <rPr>
        <sz val="9"/>
        <rFont val="Century Gothic"/>
        <family val="2"/>
      </rPr>
      <t xml:space="preserve">L'outil d'autodiagnostic financier est à destination de </t>
    </r>
    <r>
      <rPr>
        <b/>
        <u/>
        <sz val="9"/>
        <rFont val="Century Gothic"/>
        <family val="2"/>
      </rPr>
      <t>tous les établissements et services</t>
    </r>
    <r>
      <rPr>
        <sz val="9"/>
        <rFont val="Century Gothic"/>
        <family val="2"/>
      </rPr>
      <t xml:space="preserve">, secteur personnes âgées et personnes handicapées - adultes et enfants -, de la région Pays-de-la-Loire.
Les structures soumises aux nomenclatures </t>
    </r>
    <r>
      <rPr>
        <b/>
        <sz val="9"/>
        <rFont val="Century Gothic"/>
        <family val="2"/>
      </rPr>
      <t>M22</t>
    </r>
    <r>
      <rPr>
        <sz val="9"/>
        <rFont val="Century Gothic"/>
        <family val="2"/>
      </rPr>
      <t xml:space="preserve">, </t>
    </r>
    <r>
      <rPr>
        <b/>
        <sz val="9"/>
        <rFont val="Century Gothic"/>
        <family val="2"/>
      </rPr>
      <t>M21</t>
    </r>
    <r>
      <rPr>
        <sz val="9"/>
        <rFont val="Century Gothic"/>
        <family val="2"/>
      </rPr>
      <t xml:space="preserve"> ou</t>
    </r>
    <r>
      <rPr>
        <b/>
        <sz val="9"/>
        <rFont val="Century Gothic"/>
        <family val="2"/>
      </rPr>
      <t xml:space="preserve"> Plan Comptable Général</t>
    </r>
    <r>
      <rPr>
        <sz val="9"/>
        <rFont val="Century Gothic"/>
        <family val="2"/>
      </rPr>
      <t xml:space="preserve"> </t>
    </r>
    <r>
      <rPr>
        <b/>
        <sz val="9"/>
        <rFont val="Century Gothic"/>
        <family val="2"/>
      </rPr>
      <t>(PCG)</t>
    </r>
    <r>
      <rPr>
        <sz val="9"/>
        <rFont val="Century Gothic"/>
        <family val="2"/>
      </rPr>
      <t xml:space="preserve"> peuvent utiliser cet outil.
</t>
    </r>
    <r>
      <rPr>
        <b/>
        <i/>
        <sz val="9"/>
        <rFont val="Century Gothic"/>
        <family val="2"/>
      </rPr>
      <t>M21</t>
    </r>
    <r>
      <rPr>
        <i/>
        <sz val="9"/>
        <rFont val="Century Gothic"/>
        <family val="2"/>
      </rPr>
      <t xml:space="preserve"> pour les établissements médico-sociaux publics rattachés à un établissement public de santé
</t>
    </r>
    <r>
      <rPr>
        <b/>
        <i/>
        <sz val="9"/>
        <rFont val="Century Gothic"/>
        <family val="2"/>
      </rPr>
      <t>M22</t>
    </r>
    <r>
      <rPr>
        <i/>
        <sz val="9"/>
        <rFont val="Century Gothic"/>
        <family val="2"/>
      </rPr>
      <t xml:space="preserve"> pour les établissements médico-sociaux publics autonomes et privés à but non lucratif
</t>
    </r>
    <r>
      <rPr>
        <b/>
        <i/>
        <sz val="9"/>
        <rFont val="Century Gothic"/>
        <family val="2"/>
      </rPr>
      <t>Plan Comptable Général</t>
    </r>
    <r>
      <rPr>
        <i/>
        <sz val="9"/>
        <rFont val="Century Gothic"/>
        <family val="2"/>
      </rPr>
      <t xml:space="preserve"> pour les établissements médico-sociaux privés à but lucratif</t>
    </r>
    <r>
      <rPr>
        <sz val="9"/>
        <rFont val="Century Gothic"/>
        <family val="2"/>
      </rPr>
      <t xml:space="preserve">
</t>
    </r>
  </si>
  <si>
    <r>
      <rPr>
        <b/>
        <u/>
        <sz val="9"/>
        <color indexed="10"/>
        <rFont val="Century Gothic"/>
        <family val="2"/>
      </rPr>
      <t>Objectifs</t>
    </r>
    <r>
      <rPr>
        <b/>
        <sz val="9"/>
        <color indexed="10"/>
        <rFont val="Century Gothic"/>
        <family val="2"/>
      </rPr>
      <t xml:space="preserve"> : </t>
    </r>
    <r>
      <rPr>
        <b/>
        <sz val="9"/>
        <color indexed="8"/>
        <rFont val="Century Gothic"/>
        <family val="2"/>
      </rPr>
      <t xml:space="preserve">
</t>
    </r>
    <r>
      <rPr>
        <sz val="9"/>
        <color indexed="8"/>
        <rFont val="Century Gothic"/>
        <family val="2"/>
      </rPr>
      <t xml:space="preserve">Cet outil d'auto-diagnostic a pour but d'aider les </t>
    </r>
    <r>
      <rPr>
        <u/>
        <sz val="9"/>
        <color indexed="8"/>
        <rFont val="Century Gothic"/>
        <family val="2"/>
      </rPr>
      <t>établissements et services du secteur médico-social</t>
    </r>
    <r>
      <rPr>
        <sz val="9"/>
        <color indexed="8"/>
        <rFont val="Century Gothic"/>
        <family val="2"/>
      </rPr>
      <t xml:space="preserve"> à </t>
    </r>
    <r>
      <rPr>
        <b/>
        <sz val="9"/>
        <color indexed="8"/>
        <rFont val="Century Gothic"/>
        <family val="2"/>
      </rPr>
      <t>analyser leurs données financières</t>
    </r>
    <r>
      <rPr>
        <sz val="9"/>
        <color indexed="8"/>
        <rFont val="Century Gothic"/>
        <family val="2"/>
      </rPr>
      <t xml:space="preserve">.
La vocation première de cet outil est de pouvoir </t>
    </r>
    <r>
      <rPr>
        <b/>
        <sz val="9"/>
        <color indexed="8"/>
        <rFont val="Century Gothic"/>
        <family val="2"/>
      </rPr>
      <t>analyser</t>
    </r>
    <r>
      <rPr>
        <sz val="9"/>
        <color indexed="8"/>
        <rFont val="Century Gothic"/>
        <family val="2"/>
      </rPr>
      <t xml:space="preserve"> </t>
    </r>
    <r>
      <rPr>
        <u/>
        <sz val="9"/>
        <color indexed="8"/>
        <rFont val="Century Gothic"/>
        <family val="2"/>
      </rPr>
      <t>rapidement</t>
    </r>
    <r>
      <rPr>
        <sz val="9"/>
        <color indexed="8"/>
        <rFont val="Century Gothic"/>
        <family val="2"/>
      </rPr>
      <t xml:space="preserve"> et </t>
    </r>
    <r>
      <rPr>
        <u/>
        <sz val="9"/>
        <color indexed="8"/>
        <rFont val="Century Gothic"/>
        <family val="2"/>
      </rPr>
      <t>simplement</t>
    </r>
    <r>
      <rPr>
        <sz val="9"/>
        <color indexed="8"/>
        <rFont val="Century Gothic"/>
        <family val="2"/>
      </rPr>
      <t xml:space="preserve"> sa situation financière au travers d'</t>
    </r>
    <r>
      <rPr>
        <u val="double"/>
        <sz val="9"/>
        <color indexed="8"/>
        <rFont val="Century Gothic"/>
        <family val="2"/>
      </rPr>
      <t>indicateurs de référence</t>
    </r>
    <r>
      <rPr>
        <sz val="9"/>
        <color indexed="8"/>
        <rFont val="Century Gothic"/>
        <family val="2"/>
      </rPr>
      <t xml:space="preserve">.
Vous pourrez ainsi échanger avec vos différents interlocuteurs - </t>
    </r>
    <r>
      <rPr>
        <i/>
        <sz val="9"/>
        <color indexed="8"/>
        <rFont val="Century Gothic"/>
        <family val="2"/>
      </rPr>
      <t>conseil d'administration, organisme gestionnaire, Agence Régionale de Santé, Conseil départemental, organisme bancaire</t>
    </r>
    <r>
      <rPr>
        <sz val="9"/>
        <color indexed="8"/>
        <rFont val="Century Gothic"/>
        <family val="2"/>
      </rPr>
      <t xml:space="preserve"> - en employant le </t>
    </r>
    <r>
      <rPr>
        <b/>
        <sz val="9"/>
        <color indexed="8"/>
        <rFont val="Century Gothic"/>
        <family val="2"/>
      </rPr>
      <t>même langage financier</t>
    </r>
    <r>
      <rPr>
        <sz val="9"/>
        <color indexed="8"/>
        <rFont val="Century Gothic"/>
        <family val="2"/>
      </rPr>
      <t>.</t>
    </r>
  </si>
  <si>
    <r>
      <rPr>
        <sz val="9"/>
        <rFont val="Century Gothic"/>
        <family val="2"/>
      </rPr>
      <t xml:space="preserve">L'outil peut être utilisé de manière indépendante : une seule analyse peut être réalisée.
</t>
    </r>
    <r>
      <rPr>
        <sz val="9"/>
        <color indexed="10"/>
        <rFont val="Century Gothic"/>
        <family val="2"/>
      </rPr>
      <t xml:space="preserve">Mais il est nécessaire de </t>
    </r>
    <r>
      <rPr>
        <b/>
        <u/>
        <sz val="9"/>
        <color indexed="10"/>
        <rFont val="Century Gothic"/>
        <family val="2"/>
      </rPr>
      <t>compléter toutes les données de l'analyse souhaitée</t>
    </r>
    <r>
      <rPr>
        <sz val="9"/>
        <color indexed="10"/>
        <rFont val="Century Gothic"/>
        <family val="2"/>
      </rPr>
      <t xml:space="preserve"> pour obtenir l'ensemble des résultats de l'analyse voulue.</t>
    </r>
    <r>
      <rPr>
        <sz val="9"/>
        <rFont val="Century Gothic"/>
        <family val="2"/>
      </rPr>
      <t xml:space="preserve">
</t>
    </r>
  </si>
  <si>
    <r>
      <rPr>
        <b/>
        <u/>
        <sz val="9"/>
        <color indexed="10"/>
        <rFont val="Century Gothic"/>
        <family val="2"/>
      </rPr>
      <t>Consigne</t>
    </r>
    <r>
      <rPr>
        <b/>
        <sz val="9"/>
        <color indexed="10"/>
        <rFont val="Century Gothic"/>
        <family val="2"/>
      </rPr>
      <t xml:space="preserve"> :</t>
    </r>
    <r>
      <rPr>
        <sz val="9"/>
        <color indexed="10"/>
        <rFont val="Century Gothic"/>
        <family val="2"/>
      </rPr>
      <t xml:space="preserve">
Complétez les données demandées ci-dessous, afin de calculer automatiquement la CAF (Capacité d'AutoFinancement) ou la IAF (Insuffisance d'AutoFinancement).
</t>
    </r>
    <r>
      <rPr>
        <u/>
        <sz val="9"/>
        <color indexed="10"/>
        <rFont val="Century Gothic"/>
        <family val="2"/>
      </rPr>
      <t>Sources</t>
    </r>
    <r>
      <rPr>
        <sz val="9"/>
        <color indexed="10"/>
        <rFont val="Century Gothic"/>
        <family val="2"/>
      </rPr>
      <t xml:space="preserve"> : Comptes financiers N-2, N-1 et N</t>
    </r>
  </si>
  <si>
    <r>
      <rPr>
        <b/>
        <u/>
        <sz val="9"/>
        <color indexed="10"/>
        <rFont val="Century Gothic"/>
        <family val="2"/>
      </rPr>
      <t>Consignes</t>
    </r>
    <r>
      <rPr>
        <b/>
        <sz val="9"/>
        <color indexed="10"/>
        <rFont val="Century Gothic"/>
        <family val="2"/>
      </rPr>
      <t xml:space="preserve"> :
</t>
    </r>
    <r>
      <rPr>
        <sz val="9"/>
        <color indexed="10"/>
        <rFont val="Century Gothic"/>
        <family val="2"/>
      </rPr>
      <t xml:space="preserve">Complétez les données des trois dernières années disponibles.
Ce tableau permet de calculer automatiquement les différents soldes intermédiaires de gestion :
</t>
    </r>
    <r>
      <rPr>
        <i/>
        <sz val="9"/>
        <color indexed="10"/>
        <rFont val="Century Gothic"/>
        <family val="2"/>
      </rPr>
      <t>Excédent Brut d'Exploitation = EBE
Résultat d'exploitation
Résultat courant
Résultat exceptionnel
Résultat net</t>
    </r>
    <r>
      <rPr>
        <sz val="9"/>
        <color indexed="10"/>
        <rFont val="Century Gothic"/>
        <family val="2"/>
      </rPr>
      <t xml:space="preserve">
</t>
    </r>
    <r>
      <rPr>
        <u/>
        <sz val="9"/>
        <color indexed="10"/>
        <rFont val="Century Gothic"/>
        <family val="2"/>
      </rPr>
      <t>Sources</t>
    </r>
    <r>
      <rPr>
        <sz val="9"/>
        <color indexed="10"/>
        <rFont val="Century Gothic"/>
        <family val="2"/>
      </rPr>
      <t xml:space="preserve"> : Comptes financiers N-2, N-1 et N.</t>
    </r>
    <r>
      <rPr>
        <b/>
        <sz val="9"/>
        <color indexed="10"/>
        <rFont val="Century Gothic"/>
        <family val="2"/>
      </rPr>
      <t xml:space="preserve">
</t>
    </r>
  </si>
  <si>
    <t>Famille d'indicateurs</t>
  </si>
  <si>
    <r>
      <t xml:space="preserve">Fonds de roulement d'investissement </t>
    </r>
    <r>
      <rPr>
        <sz val="11"/>
        <color indexed="30"/>
        <rFont val="Century Gothic"/>
        <family val="2"/>
      </rPr>
      <t>(FRI)</t>
    </r>
  </si>
  <si>
    <r>
      <t>Fonds de roulement d'exploitation</t>
    </r>
    <r>
      <rPr>
        <sz val="11"/>
        <color indexed="30"/>
        <rFont val="Century Gothic"/>
        <family val="2"/>
      </rPr>
      <t xml:space="preserve"> (FRE)</t>
    </r>
  </si>
  <si>
    <r>
      <t>Fonds de roulement net global</t>
    </r>
    <r>
      <rPr>
        <sz val="11"/>
        <color indexed="30"/>
        <rFont val="Century Gothic"/>
        <family val="2"/>
      </rPr>
      <t xml:space="preserve"> (FRNG)</t>
    </r>
  </si>
  <si>
    <t>Trésorerie nette</t>
  </si>
  <si>
    <r>
      <t xml:space="preserve">TN </t>
    </r>
    <r>
      <rPr>
        <sz val="9"/>
        <color indexed="30"/>
        <rFont val="Century Gothic"/>
        <family val="2"/>
      </rPr>
      <t>en euros</t>
    </r>
  </si>
  <si>
    <t>Sources des données</t>
  </si>
  <si>
    <r>
      <t xml:space="preserve">Délai de rotation des créances d'exploitation </t>
    </r>
    <r>
      <rPr>
        <sz val="9"/>
        <color indexed="53"/>
        <rFont val="Century Gothic"/>
        <family val="2"/>
      </rPr>
      <t>(en jours)</t>
    </r>
  </si>
  <si>
    <r>
      <t xml:space="preserve">Délai de rotation des dettes d'exploitation </t>
    </r>
    <r>
      <rPr>
        <sz val="9"/>
        <color indexed="53"/>
        <rFont val="Century Gothic"/>
        <family val="2"/>
      </rPr>
      <t>(en jours)</t>
    </r>
  </si>
  <si>
    <r>
      <t>Fonds de Roulement d'Investissement</t>
    </r>
    <r>
      <rPr>
        <sz val="12"/>
        <color indexed="30"/>
        <rFont val="Century Gothic"/>
        <family val="2"/>
      </rPr>
      <t xml:space="preserve"> (FRI)</t>
    </r>
  </si>
  <si>
    <r>
      <rPr>
        <b/>
        <sz val="9"/>
        <color indexed="8"/>
        <rFont val="Century Gothic"/>
        <family val="2"/>
      </rPr>
      <t xml:space="preserve">Numérateur : Financements stables =
</t>
    </r>
    <r>
      <rPr>
        <sz val="9"/>
        <color indexed="8"/>
        <rFont val="Century Gothic"/>
        <family val="2"/>
      </rPr>
      <t xml:space="preserve">Solde du compte 102 </t>
    </r>
    <r>
      <rPr>
        <b/>
        <sz val="9"/>
        <color indexed="8"/>
        <rFont val="Century Gothic"/>
        <family val="2"/>
      </rPr>
      <t>+</t>
    </r>
    <r>
      <rPr>
        <sz val="9"/>
        <color indexed="8"/>
        <rFont val="Century Gothic"/>
        <family val="2"/>
      </rPr>
      <t xml:space="preserve"> Solde du compte 1064 (M22) ou 1486 (PCG) </t>
    </r>
    <r>
      <rPr>
        <b/>
        <sz val="9"/>
        <color indexed="8"/>
        <rFont val="Century Gothic"/>
        <family val="2"/>
      </rPr>
      <t>+</t>
    </r>
    <r>
      <rPr>
        <sz val="9"/>
        <color indexed="8"/>
        <rFont val="Century Gothic"/>
        <family val="2"/>
      </rPr>
      <t xml:space="preserve"> Solde du compte 10682 </t>
    </r>
    <r>
      <rPr>
        <b/>
        <sz val="9"/>
        <color indexed="8"/>
        <rFont val="Century Gothic"/>
        <family val="2"/>
      </rPr>
      <t>+</t>
    </r>
    <r>
      <rPr>
        <sz val="9"/>
        <color indexed="8"/>
        <rFont val="Century Gothic"/>
        <family val="2"/>
      </rPr>
      <t xml:space="preserve"> Solde du compte 10687 </t>
    </r>
    <r>
      <rPr>
        <b/>
        <sz val="9"/>
        <color indexed="8"/>
        <rFont val="Century Gothic"/>
        <family val="2"/>
      </rPr>
      <t>+</t>
    </r>
    <r>
      <rPr>
        <sz val="9"/>
        <color indexed="8"/>
        <rFont val="Century Gothic"/>
        <family val="2"/>
      </rPr>
      <t xml:space="preserve"> Solde des comptes 13 </t>
    </r>
    <r>
      <rPr>
        <b/>
        <sz val="9"/>
        <color indexed="8"/>
        <rFont val="Century Gothic"/>
        <family val="2"/>
      </rPr>
      <t>+</t>
    </r>
    <r>
      <rPr>
        <sz val="9"/>
        <color indexed="8"/>
        <rFont val="Century Gothic"/>
        <family val="2"/>
      </rPr>
      <t xml:space="preserve"> Solde du compte 142 </t>
    </r>
    <r>
      <rPr>
        <b/>
        <sz val="9"/>
        <color indexed="8"/>
        <rFont val="Century Gothic"/>
        <family val="2"/>
      </rPr>
      <t>+</t>
    </r>
    <r>
      <rPr>
        <sz val="9"/>
        <color indexed="8"/>
        <rFont val="Century Gothic"/>
        <family val="2"/>
      </rPr>
      <t xml:space="preserve"> Solde du compte 145 </t>
    </r>
    <r>
      <rPr>
        <b/>
        <sz val="9"/>
        <color indexed="8"/>
        <rFont val="Century Gothic"/>
        <family val="2"/>
      </rPr>
      <t>+</t>
    </r>
    <r>
      <rPr>
        <sz val="9"/>
        <color indexed="8"/>
        <rFont val="Century Gothic"/>
        <family val="2"/>
      </rPr>
      <t xml:space="preserve"> Solde du compte 163 </t>
    </r>
    <r>
      <rPr>
        <b/>
        <sz val="9"/>
        <color indexed="8"/>
        <rFont val="Century Gothic"/>
        <family val="2"/>
      </rPr>
      <t>+</t>
    </r>
    <r>
      <rPr>
        <sz val="9"/>
        <color indexed="8"/>
        <rFont val="Century Gothic"/>
        <family val="2"/>
      </rPr>
      <t xml:space="preserve"> Solde du compte 164</t>
    </r>
    <r>
      <rPr>
        <b/>
        <sz val="9"/>
        <color indexed="8"/>
        <rFont val="Century Gothic"/>
        <family val="2"/>
      </rPr>
      <t xml:space="preserve"> + </t>
    </r>
    <r>
      <rPr>
        <sz val="9"/>
        <color indexed="8"/>
        <rFont val="Century Gothic"/>
        <family val="2"/>
      </rPr>
      <t xml:space="preserve">Solde du compte 165 </t>
    </r>
    <r>
      <rPr>
        <b/>
        <sz val="9"/>
        <color indexed="8"/>
        <rFont val="Century Gothic"/>
        <family val="2"/>
      </rPr>
      <t>+</t>
    </r>
    <r>
      <rPr>
        <sz val="9"/>
        <color indexed="8"/>
        <rFont val="Century Gothic"/>
        <family val="2"/>
      </rPr>
      <t xml:space="preserve"> Solde du compte 167 </t>
    </r>
    <r>
      <rPr>
        <b/>
        <sz val="9"/>
        <color indexed="8"/>
        <rFont val="Century Gothic"/>
        <family val="2"/>
      </rPr>
      <t>+</t>
    </r>
    <r>
      <rPr>
        <sz val="9"/>
        <color indexed="8"/>
        <rFont val="Century Gothic"/>
        <family val="2"/>
      </rPr>
      <t xml:space="preserve"> Solde du compte 168 (hors 1688)</t>
    </r>
    <r>
      <rPr>
        <b/>
        <sz val="9"/>
        <color indexed="8"/>
        <rFont val="Century Gothic"/>
        <family val="2"/>
      </rPr>
      <t xml:space="preserve"> +</t>
    </r>
    <r>
      <rPr>
        <sz val="9"/>
        <color indexed="8"/>
        <rFont val="Century Gothic"/>
        <family val="2"/>
      </rPr>
      <t xml:space="preserve"> Solde créditeur des comptes 18</t>
    </r>
    <r>
      <rPr>
        <b/>
        <sz val="9"/>
        <color indexed="8"/>
        <rFont val="Century Gothic"/>
        <family val="2"/>
      </rPr>
      <t xml:space="preserve"> </t>
    </r>
    <r>
      <rPr>
        <sz val="9"/>
        <color indexed="8"/>
        <rFont val="Century Gothic"/>
        <family val="2"/>
      </rPr>
      <t>(investissement)</t>
    </r>
    <r>
      <rPr>
        <b/>
        <sz val="9"/>
        <color indexed="8"/>
        <rFont val="Century Gothic"/>
        <family val="2"/>
      </rPr>
      <t xml:space="preserve"> +</t>
    </r>
    <r>
      <rPr>
        <sz val="9"/>
        <color indexed="8"/>
        <rFont val="Century Gothic"/>
        <family val="2"/>
      </rPr>
      <t xml:space="preserve"> Solde du compte 229 </t>
    </r>
    <r>
      <rPr>
        <b/>
        <sz val="9"/>
        <color indexed="8"/>
        <rFont val="Century Gothic"/>
        <family val="2"/>
      </rPr>
      <t xml:space="preserve">+ </t>
    </r>
    <r>
      <rPr>
        <sz val="9"/>
        <color indexed="8"/>
        <rFont val="Century Gothic"/>
        <family val="2"/>
      </rPr>
      <t xml:space="preserve">Solde des comptes 28
</t>
    </r>
    <r>
      <rPr>
        <b/>
        <sz val="9"/>
        <color indexed="8"/>
        <rFont val="Century Gothic"/>
        <family val="2"/>
      </rPr>
      <t xml:space="preserve">
Dénominateur : Biens stables =
</t>
    </r>
    <r>
      <rPr>
        <sz val="9"/>
        <color indexed="8"/>
        <rFont val="Century Gothic"/>
        <family val="2"/>
      </rPr>
      <t>Solde du compte 1161</t>
    </r>
    <r>
      <rPr>
        <b/>
        <sz val="9"/>
        <color indexed="8"/>
        <rFont val="Century Gothic"/>
        <family val="2"/>
      </rPr>
      <t xml:space="preserve"> + </t>
    </r>
    <r>
      <rPr>
        <sz val="9"/>
        <color indexed="8"/>
        <rFont val="Century Gothic"/>
        <family val="2"/>
      </rPr>
      <t>Solde débiteur des comptes 18 (investissement)</t>
    </r>
    <r>
      <rPr>
        <b/>
        <sz val="9"/>
        <color indexed="8"/>
        <rFont val="Century Gothic"/>
        <family val="2"/>
      </rPr>
      <t xml:space="preserve"> + </t>
    </r>
    <r>
      <rPr>
        <sz val="9"/>
        <color indexed="8"/>
        <rFont val="Century Gothic"/>
        <family val="2"/>
      </rPr>
      <t xml:space="preserve">Solde des comptes 20 </t>
    </r>
    <r>
      <rPr>
        <b/>
        <sz val="9"/>
        <color indexed="8"/>
        <rFont val="Century Gothic"/>
        <family val="2"/>
      </rPr>
      <t xml:space="preserve">+ </t>
    </r>
    <r>
      <rPr>
        <sz val="9"/>
        <color indexed="8"/>
        <rFont val="Century Gothic"/>
        <family val="2"/>
      </rPr>
      <t xml:space="preserve">Solde des comptes 21 </t>
    </r>
    <r>
      <rPr>
        <b/>
        <sz val="9"/>
        <color indexed="8"/>
        <rFont val="Century Gothic"/>
        <family val="2"/>
      </rPr>
      <t>+</t>
    </r>
    <r>
      <rPr>
        <sz val="9"/>
        <color indexed="8"/>
        <rFont val="Century Gothic"/>
        <family val="2"/>
      </rPr>
      <t xml:space="preserve"> Solde des comptes 231</t>
    </r>
    <r>
      <rPr>
        <b/>
        <sz val="9"/>
        <color indexed="8"/>
        <rFont val="Century Gothic"/>
        <family val="2"/>
      </rPr>
      <t xml:space="preserve"> +</t>
    </r>
    <r>
      <rPr>
        <sz val="9"/>
        <color indexed="8"/>
        <rFont val="Century Gothic"/>
        <family val="2"/>
      </rPr>
      <t xml:space="preserve"> Solde des comptes 26 </t>
    </r>
    <r>
      <rPr>
        <b/>
        <sz val="9"/>
        <color indexed="8"/>
        <rFont val="Century Gothic"/>
        <family val="2"/>
      </rPr>
      <t>+</t>
    </r>
    <r>
      <rPr>
        <sz val="9"/>
        <color indexed="8"/>
        <rFont val="Century Gothic"/>
        <family val="2"/>
      </rPr>
      <t xml:space="preserve"> Solde des comptes 27</t>
    </r>
  </si>
  <si>
    <t>En %, le FRI doit normalement être supérieur à 100%.</t>
  </si>
  <si>
    <t>- Il peut y avoir un écart entre l'inscription de l'actif réalisé et l'utilisation des emprunts : l'emprunt peut être mobilisé tardivement si l'établissement dispose d'une trésorerie suffisante.</t>
  </si>
  <si>
    <r>
      <t xml:space="preserve">Fonds de Roulement d'Exploitation </t>
    </r>
    <r>
      <rPr>
        <sz val="12"/>
        <color indexed="30"/>
        <rFont val="Century Gothic"/>
        <family val="2"/>
      </rPr>
      <t>(FRE)</t>
    </r>
  </si>
  <si>
    <r>
      <rPr>
        <b/>
        <sz val="9"/>
        <color indexed="8"/>
        <rFont val="Century Gothic"/>
        <family val="2"/>
      </rPr>
      <t xml:space="preserve">Financements stables d'exploitation =
</t>
    </r>
    <r>
      <rPr>
        <sz val="9"/>
        <color indexed="8"/>
        <rFont val="Century Gothic"/>
        <family val="2"/>
      </rPr>
      <t xml:space="preserve">Solde du compte 10685 </t>
    </r>
    <r>
      <rPr>
        <b/>
        <sz val="9"/>
        <color indexed="8"/>
        <rFont val="Century Gothic"/>
        <family val="2"/>
      </rPr>
      <t>+</t>
    </r>
    <r>
      <rPr>
        <sz val="9"/>
        <color indexed="8"/>
        <rFont val="Century Gothic"/>
        <family val="2"/>
      </rPr>
      <t xml:space="preserve"> Solde du compte 10686 + Solde des comptes 11 + détail du compte 110 + détail du compte 111 </t>
    </r>
    <r>
      <rPr>
        <b/>
        <sz val="9"/>
        <color indexed="8"/>
        <rFont val="Century Gothic"/>
        <family val="2"/>
      </rPr>
      <t>+</t>
    </r>
    <r>
      <rPr>
        <sz val="9"/>
        <color indexed="8"/>
        <rFont val="Century Gothic"/>
        <family val="2"/>
      </rPr>
      <t xml:space="preserve"> Solde créditeur du compte 12 </t>
    </r>
    <r>
      <rPr>
        <b/>
        <sz val="9"/>
        <color indexed="8"/>
        <rFont val="Century Gothic"/>
        <family val="2"/>
      </rPr>
      <t>+</t>
    </r>
    <r>
      <rPr>
        <sz val="9"/>
        <color indexed="8"/>
        <rFont val="Century Gothic"/>
        <family val="2"/>
      </rPr>
      <t xml:space="preserve"> Solde des comptes 15 (sauf 153 en M21) </t>
    </r>
    <r>
      <rPr>
        <b/>
        <sz val="9"/>
        <color indexed="8"/>
        <rFont val="Century Gothic"/>
        <family val="2"/>
      </rPr>
      <t>+</t>
    </r>
    <r>
      <rPr>
        <sz val="9"/>
        <color indexed="8"/>
        <rFont val="Century Gothic"/>
        <family val="2"/>
      </rPr>
      <t xml:space="preserve"> Solde créditeur des comptes 18 (exploitation stable) </t>
    </r>
    <r>
      <rPr>
        <b/>
        <sz val="9"/>
        <color indexed="8"/>
        <rFont val="Century Gothic"/>
        <family val="2"/>
      </rPr>
      <t>+</t>
    </r>
    <r>
      <rPr>
        <sz val="9"/>
        <color indexed="8"/>
        <rFont val="Century Gothic"/>
        <family val="2"/>
      </rPr>
      <t xml:space="preserve"> Solde du compte 19 (PCG)
</t>
    </r>
    <r>
      <rPr>
        <b/>
        <sz val="9"/>
        <color indexed="8"/>
        <rFont val="Century Gothic"/>
        <family val="2"/>
      </rPr>
      <t xml:space="preserve">Biens stables d'exploitation =
</t>
    </r>
    <r>
      <rPr>
        <sz val="9"/>
        <color indexed="8"/>
        <rFont val="Century Gothic"/>
        <family val="2"/>
      </rPr>
      <t>Solde du compte 1163 (M22) + Solde du compte 119 + Solde débiteur du compte 12 + Solde du compte 153 (M21) + Solde débiteur des comptes 18 (exploitation stable)</t>
    </r>
    <r>
      <rPr>
        <b/>
        <sz val="9"/>
        <color indexed="8"/>
        <rFont val="Century Gothic"/>
        <family val="2"/>
      </rPr>
      <t xml:space="preserve">
</t>
    </r>
  </si>
  <si>
    <t>- 777 : Quote-part des subventions d'investissement virées au résultat de l'exercice (M21) / Subventions d'investissement virées au résultat de l'exercice (M22)</t>
  </si>
  <si>
    <t>Solde du compte 12 "Résultat de l'exercice"
Solde du compte 675 "Valeurs comptables des éléments d'actif cédés
Solde des comptes 68 "Dotations aux amortissements, dépréciations et provisions"
Solde du compte 775 "Produits des cessions d'éléments d'actif"
Solde du compte 777 "Quote-part des subventions d'investissement virées au résultat de l'exercice" (M21) / "Subventions d'investissement virées au résultat de l'exercice" (M22)
Solde des comptes 78 "Reprises sur amortissements, dépréciations et provisions"</t>
  </si>
  <si>
    <t>Le taux d'indépendance financière est le rapport entre l'encours de la dette à moyen et long terme et les capitaux permanents.
Il correspond au "taux d'endettement", expression notamment utilisée dans le Tableau de bord de la performance dans le secteur médico-social.</t>
  </si>
  <si>
    <r>
      <rPr>
        <b/>
        <sz val="9"/>
        <color indexed="8"/>
        <rFont val="Century Gothic"/>
        <family val="2"/>
      </rPr>
      <t>Numérateur</t>
    </r>
    <r>
      <rPr>
        <sz val="9"/>
        <color indexed="8"/>
        <rFont val="Century Gothic"/>
        <family val="2"/>
      </rPr>
      <t xml:space="preserve"> :</t>
    </r>
    <r>
      <rPr>
        <b/>
        <sz val="9"/>
        <color indexed="8"/>
        <rFont val="Century Gothic"/>
        <family val="2"/>
      </rPr>
      <t xml:space="preserve"> Encours de la dette =
</t>
    </r>
    <r>
      <rPr>
        <sz val="9"/>
        <color indexed="8"/>
        <rFont val="Century Gothic"/>
        <family val="2"/>
      </rPr>
      <t xml:space="preserve">Solde créditeur des comptes 16 "Emprunts et dettes assimilées" - hors compte 1688 "Intérêts courus" et 169 "Primes de remboursement des obligations"
</t>
    </r>
    <r>
      <rPr>
        <b/>
        <sz val="9"/>
        <color indexed="8"/>
        <rFont val="Century Gothic"/>
        <family val="2"/>
      </rPr>
      <t>Dénominateur : Capitaux permanents =</t>
    </r>
    <r>
      <rPr>
        <sz val="9"/>
        <color indexed="8"/>
        <rFont val="Century Gothic"/>
        <family val="2"/>
      </rPr>
      <t xml:space="preserve">
Solde créditeur des comptes 10 "Dotations, fonds divers/apports et réserves" (M21 et M22) - " Fonds associatifs et réserves" (M22bis)
Solde débiteur ou créditeur des comptes 11 "Report à nouveau"
Solde débiteur ou créditeur du compte 12 "Résultat de l'exercice"
Solde créditeur des comptes 13 "Subventions d'investissement"
Solde créditeur des comptes 14 "Provisions réglementées"
Solde créditeur des comptes 15 "Provisions" (M21) / "Provisions pour risques et charges" (M22)
Solde créditeur des comptes 16 "Emprunts et dettes assimilées" - hors comptes 165 "Dépôts et cautionnements reçus", compte 1688 "Intérêts courus" et compte 169 "Primes de remboursement des obligations"</t>
    </r>
  </si>
  <si>
    <t>Comptes 10, 12,  11, 13 14, 15 et 16 (sauf 165, 1688 et 169)</t>
  </si>
  <si>
    <r>
      <t xml:space="preserve">Le BFR représente les fonds que l'établissement doit avancer à court terme pour assurer son activité. Une créance constatée mais non encore encaissée augmente ce besoin de financement, alors qu'une dette constatée mais non payée va le diminuer.
Si le </t>
    </r>
    <r>
      <rPr>
        <u/>
        <sz val="9"/>
        <color indexed="8"/>
        <rFont val="Century Gothic"/>
        <family val="2"/>
      </rPr>
      <t xml:space="preserve">BFR est </t>
    </r>
    <r>
      <rPr>
        <b/>
        <u/>
        <sz val="9"/>
        <color indexed="8"/>
        <rFont val="Century Gothic"/>
        <family val="2"/>
      </rPr>
      <t>positif</t>
    </r>
    <r>
      <rPr>
        <sz val="9"/>
        <color indexed="8"/>
        <rFont val="Century Gothic"/>
        <family val="2"/>
      </rPr>
      <t xml:space="preserve"> cela signifie que l'établissement a besoin de mobiliser des moyens de financement à court terme ; il influe donc de manière défavorable sur la trésorerie.
Lorsque le </t>
    </r>
    <r>
      <rPr>
        <u/>
        <sz val="9"/>
        <color indexed="8"/>
        <rFont val="Century Gothic"/>
        <family val="2"/>
      </rPr>
      <t xml:space="preserve">BFR est </t>
    </r>
    <r>
      <rPr>
        <b/>
        <u/>
        <sz val="9"/>
        <color indexed="8"/>
        <rFont val="Century Gothic"/>
        <family val="2"/>
      </rPr>
      <t>négatif</t>
    </r>
    <r>
      <rPr>
        <sz val="9"/>
        <color indexed="8"/>
        <rFont val="Century Gothic"/>
        <family val="2"/>
      </rPr>
      <t>, on parle plus communément d'</t>
    </r>
    <r>
      <rPr>
        <b/>
        <sz val="9"/>
        <color indexed="8"/>
        <rFont val="Century Gothic"/>
        <family val="2"/>
      </rPr>
      <t>Excédent de Financement d'Exploitation, EFE</t>
    </r>
    <r>
      <rPr>
        <sz val="9"/>
        <color indexed="8"/>
        <rFont val="Century Gothic"/>
        <family val="2"/>
      </rPr>
      <t xml:space="preserve">. Un EFE signifie alors qu'il y a absence de besoin de financement : la structure a une marge de manoeuvre qui lui permet de faire face à ses engagements, ses dépenses. Elle dégage une ressource en fonds de roulement, elle vient accroître le montant de la trésorerie.
Un EFE péren met en lumière une maîtrise des délais "clients" et "fournisseurs" : vos créances sont encaissées rapidement, alors que les délais de paiement qui vous sont accordés sont supérieur et vous laissent ainsi cette marge de manoeuvre.
On interprétera le </t>
    </r>
    <r>
      <rPr>
        <u/>
        <sz val="9"/>
        <color indexed="8"/>
        <rFont val="Century Gothic"/>
        <family val="2"/>
      </rPr>
      <t xml:space="preserve">BFR </t>
    </r>
    <r>
      <rPr>
        <b/>
        <u/>
        <sz val="9"/>
        <color indexed="8"/>
        <rFont val="Century Gothic"/>
        <family val="2"/>
      </rPr>
      <t>en nombre de jours de charges courantes</t>
    </r>
    <r>
      <rPr>
        <sz val="9"/>
        <color indexed="8"/>
        <rFont val="Century Gothic"/>
        <family val="2"/>
      </rPr>
      <t xml:space="preserve"> ainsi : </t>
    </r>
    <r>
      <rPr>
        <i/>
        <sz val="9"/>
        <color indexed="8"/>
        <rFont val="Century Gothic"/>
        <family val="2"/>
      </rPr>
      <t xml:space="preserve">"Le BFR de l'ESMS correspond à X jours de charges courantes." </t>
    </r>
  </si>
  <si>
    <t>Capacité d'investissement</t>
  </si>
  <si>
    <t>Immobilisations brutes amortissables</t>
  </si>
  <si>
    <t>La capacité d'investissement évalue la possibilité pour un établissement de faire face à de nouveaux investissements.
Le ratio permet de répondre à la question suivante : l'équilibre financier de l'établissement lui permet-il d'investir davantage ?</t>
  </si>
  <si>
    <t>Si le ratio est supérieur à 0, cela signifie que l'établissement dispose de la capacité nécessaire pour investir.
La composition du patrimoine immobilier est également à prendre en considération : un investissement supplémentaire pourrait déséquilibrer la structure.</t>
  </si>
  <si>
    <t>Un numérateur négatif prouve, sans calcul, l'incapacité pour la structure d'investir.
Le ratio doit être supérieur à 0.</t>
  </si>
  <si>
    <t>1 - [(1/1+ taux d'intérêt)^durée de l'emprunt]</t>
  </si>
  <si>
    <r>
      <rPr>
        <b/>
        <u/>
        <sz val="10"/>
        <color indexed="57"/>
        <rFont val="Century Gothic"/>
        <family val="2"/>
      </rPr>
      <t>Emprunt remboursable par annuités constantes</t>
    </r>
    <r>
      <rPr>
        <b/>
        <sz val="10"/>
        <color indexed="57"/>
        <rFont val="Century Gothic"/>
        <family val="2"/>
      </rPr>
      <t xml:space="preserve"> :
</t>
    </r>
    <r>
      <rPr>
        <sz val="10"/>
        <rFont val="Century Gothic"/>
        <family val="2"/>
      </rPr>
      <t xml:space="preserve">Chaque année, l'établissement versera la même annuité de remboursement pour son emprunt.
</t>
    </r>
  </si>
  <si>
    <r>
      <rPr>
        <b/>
        <u/>
        <sz val="10"/>
        <color indexed="57"/>
        <rFont val="Century Gothic"/>
        <family val="2"/>
      </rPr>
      <t>Emprunt remboursable par amortissements constants du capital</t>
    </r>
    <r>
      <rPr>
        <b/>
        <sz val="10"/>
        <color indexed="57"/>
        <rFont val="Century Gothic"/>
        <family val="2"/>
      </rPr>
      <t xml:space="preserve"> :
</t>
    </r>
    <r>
      <rPr>
        <sz val="10"/>
        <rFont val="Century Gothic"/>
        <family val="2"/>
      </rPr>
      <t xml:space="preserve">Chaque année, le montant de l'amortissement de l'emprunt sera le même.
</t>
    </r>
  </si>
  <si>
    <t>Durée de l'emprunt</t>
  </si>
  <si>
    <t>Durée de l'emprunt en nombre d'années.</t>
  </si>
  <si>
    <r>
      <rPr>
        <b/>
        <u/>
        <sz val="10"/>
        <color indexed="57"/>
        <rFont val="Century Gothic"/>
        <family val="2"/>
      </rPr>
      <t>Emprunt remboursable "in fine"</t>
    </r>
    <r>
      <rPr>
        <b/>
        <sz val="10"/>
        <color indexed="57"/>
        <rFont val="Century Gothic"/>
        <family val="2"/>
      </rPr>
      <t xml:space="preserve"> :
</t>
    </r>
    <r>
      <rPr>
        <sz val="10"/>
        <rFont val="Century Gothic"/>
        <family val="2"/>
      </rPr>
      <t>Cette technique de remboursement revient à amortir l'emprunt que la dernière année : le montant du capital sera remboursé à la fin ; alors que chaque année, les intérêts sont remboursés, soit annuité = montant des intérêts de l'année.</t>
    </r>
  </si>
  <si>
    <t>Résultat courant + Résultat exceptionnel</t>
  </si>
  <si>
    <t>Produits - Charges</t>
  </si>
  <si>
    <r>
      <t xml:space="preserve">Un résultat net positif signifie que la structure a réalisé un excédent : le montant des produits est supérieur au montant des charges, et inversement, s'il est négatif, la structure a réalisé un déficit : le montant des produits est inférieur au montant des charges.
En EHPAD le résultat net, le résultat de l'exercice est présenté par section tarifaire : son affectation peut donc varier en fonction de la section.
C'est le conseil d'administration qui délibère l'affectation du ou des résultat(s).
Selon l'article R314-51 du CASF, un </t>
    </r>
    <r>
      <rPr>
        <u/>
        <sz val="9"/>
        <color indexed="17"/>
        <rFont val="Century Gothic"/>
        <family val="2"/>
      </rPr>
      <t>excédent</t>
    </r>
    <r>
      <rPr>
        <sz val="9"/>
        <color indexed="8"/>
        <rFont val="Century Gothic"/>
        <family val="2"/>
      </rPr>
      <t xml:space="preserve"> d'exploitation peut être affecté :
- à la réduction des charges d'exploitation de l'exercice en cours,
- au financement de mesures d'investissement,
- au financement de mesures d'exploitation,
- à un compte de réserve de compensation,
- à un compte de réserve de trésorerie dans la limite de la couverture du besoin en fonds de roulement,
- à un compte d'excédent affecté à la compensation des charges d'amortissements (équipements, agencements et installations de mise aux normes de sécurité).
Si le résultat net est négatif, </t>
    </r>
    <r>
      <rPr>
        <u/>
        <sz val="9"/>
        <color indexed="10"/>
        <rFont val="Century Gothic"/>
        <family val="2"/>
      </rPr>
      <t>déficitaire</t>
    </r>
    <r>
      <rPr>
        <sz val="9"/>
        <color indexed="8"/>
        <rFont val="Century Gothic"/>
        <family val="2"/>
      </rPr>
      <t>, il doit être couvert par reprise sur le compte de réserve de compensation : si la réserve est insuffisante, le surplus est à ajouter aux charges d'exploitation de l'exercice en cours.
Exceptionnellement, le déficit peut être étalé sur les 3 exercices suivants.</t>
    </r>
  </si>
  <si>
    <r>
      <t xml:space="preserve">Il est préférable que le résultat net soit </t>
    </r>
    <r>
      <rPr>
        <b/>
        <sz val="9"/>
        <color indexed="17"/>
        <rFont val="Century Gothic"/>
        <family val="2"/>
      </rPr>
      <t>positif</t>
    </r>
    <r>
      <rPr>
        <b/>
        <sz val="9"/>
        <color indexed="8"/>
        <rFont val="Century Gothic"/>
        <family val="2"/>
      </rPr>
      <t xml:space="preserve">, </t>
    </r>
    <r>
      <rPr>
        <b/>
        <sz val="9"/>
        <color indexed="17"/>
        <rFont val="Century Gothic"/>
        <family val="2"/>
      </rPr>
      <t>excédentaire</t>
    </r>
    <r>
      <rPr>
        <b/>
        <sz val="9"/>
        <color indexed="8"/>
        <rFont val="Century Gothic"/>
        <family val="2"/>
      </rPr>
      <t xml:space="preserve">.
Si le résultat net est </t>
    </r>
    <r>
      <rPr>
        <b/>
        <sz val="9"/>
        <color indexed="10"/>
        <rFont val="Century Gothic"/>
        <family val="2"/>
      </rPr>
      <t>négatif</t>
    </r>
    <r>
      <rPr>
        <b/>
        <sz val="9"/>
        <color indexed="8"/>
        <rFont val="Century Gothic"/>
        <family val="2"/>
      </rPr>
      <t xml:space="preserve">, </t>
    </r>
    <r>
      <rPr>
        <b/>
        <sz val="9"/>
        <color indexed="10"/>
        <rFont val="Century Gothic"/>
        <family val="2"/>
      </rPr>
      <t>déficitaire</t>
    </r>
    <r>
      <rPr>
        <b/>
        <sz val="9"/>
        <rFont val="Century Gothic"/>
        <family val="2"/>
      </rPr>
      <t xml:space="preserve">, il faudra observer l'évolution du résultat sur les années précédentes :
- si le résultat s'est dégradé au fur et à mesure des années, il faudra comprendre pourquoi : Augmentation de certaines charges (de personnel, de fournitures, de prestations extérieures...) ? Diminution progressive de produits ? Baisse de l'activité mais stagnation des charges ?
- si le résultat est exceptionnellement négatif, il faudra être capable de l'analyser et de faire en sorte qu'il reste exceptionnel : Evènement exceptionnel qui a entrainé une forte hausse des charges ? Nombreux remplacements de personnel (absentéisme exceptionnel : accident du travail, congés maternité...) ?
Néanmoins, un </t>
    </r>
    <r>
      <rPr>
        <u/>
        <sz val="9"/>
        <color indexed="10"/>
        <rFont val="Century Gothic"/>
        <family val="2"/>
      </rPr>
      <t>résultat déficitaire</t>
    </r>
    <r>
      <rPr>
        <b/>
        <sz val="9"/>
        <rFont val="Century Gothic"/>
        <family val="2"/>
      </rPr>
      <t xml:space="preserve"> n'est pas une fin en soi :
- s'il est exceptionnel,
- s'il est maîtrisé,
- il ne faut pas s'arrêter à l'analyse seule du résultat : il vaut mieux avoir un résultat légèrement négatif et une CAF positive (supérieur au montant du remboursement des emprunts), cet indicateur -la CAF- est plus représentatif de la santé financière d'une structure.
</t>
    </r>
  </si>
  <si>
    <t>Solde créditeur des comptes 77 "Produits exceptionnels"
Solde créditeur des comptes 787 "Reprises sur dépréciations et provisions : produits exceptionnels"
Solde débiteur des comptes 67 "Charges exceptionnelles"
Solde débiteur des comptes 687 "Dotations aux amortissements, aux dépréciations et aux provisions : charges exceptionnelles"</t>
  </si>
  <si>
    <t>Le résultat courant correspond au résultat d'exploitation corrigé des opérations financières.
Il mesure la performance de la structure, sans tenir compte de l'impact des opérations exceptionnelles qui ont pu survenir au cours de l'année.</t>
  </si>
  <si>
    <t>Solde créditeur des comptes 75 "Autres produits de gestion courante"
Solde créditeur des comptes 781 "Reprises sur amortissements, dépréciations et provisions : produits d'exploitation"
Solde débiteur des comptes 681 "Dotations aux amortissements, aux dépréciations et aux provisions : charges d'exploitation"
Solde débiteur des comptes 65 "Autres charges de gestion courante"</t>
  </si>
  <si>
    <r>
      <t xml:space="preserve">Produits </t>
    </r>
    <r>
      <rPr>
        <sz val="9"/>
        <color indexed="8"/>
        <rFont val="Century Gothic"/>
        <family val="2"/>
      </rPr>
      <t>(hors Produits des activités annexes/Remboursement de frais par le CRPP et les autres CRPA)</t>
    </r>
    <r>
      <rPr>
        <b/>
        <sz val="9"/>
        <color indexed="8"/>
        <rFont val="Century Gothic"/>
        <family val="2"/>
      </rPr>
      <t xml:space="preserve">
+ Production stockée
+ Production immobilisée
+ Dotations et produits de la tarification
+ Subventions d'exploitation et participations
- Achats et variation des stocks hors Rabais, remises et ristournes sur achats, et Achats stockés : autres approvisionnements
- Services extérieurs
- Autres services extérieurs hors Prestations de services à caractère non médical
- Impôts, taxes et versements assimilés
- Charges de personnel</t>
    </r>
  </si>
  <si>
    <r>
      <t xml:space="preserve">Numérateur : Organismes payeurs, usagers + Créances diverses d'exploitation =
</t>
    </r>
    <r>
      <rPr>
        <sz val="9"/>
        <color indexed="8"/>
        <rFont val="Century Gothic"/>
        <family val="2"/>
      </rPr>
      <t xml:space="preserve">Solde débiteur du compte 411 "Redevables - Amiable"
Solde débiteur du compte 413 "Clients - Effets à recevoir"
Solde débiteur du compte 416 "Redevables - Contentieux"
Solde débiteur du compte 417 "Redevables - Différences de conversion"
Solde débiteur du compte 418 "Redevables - Produits à recevoir"
Solde débiteur du compte 467 "Autres comptes débiteurs"
Solde débiteur du compte 468 "Divers - Charges à payer et produits à recevoir"
</t>
    </r>
    <r>
      <rPr>
        <b/>
        <sz val="9"/>
        <color indexed="8"/>
        <rFont val="Century Gothic"/>
        <family val="2"/>
      </rPr>
      <t xml:space="preserve">Dénominateur : Ventes, Production vendue, Produits de la tarification, Subventions d'exploitation, Participations et autres produits d'exploitation =
</t>
    </r>
    <r>
      <rPr>
        <sz val="9"/>
        <color indexed="8"/>
        <rFont val="Century Gothic"/>
        <family val="2"/>
      </rPr>
      <t>Solde créditeur des comptes 70 "Produits" hors 7087 "Produits des activités annexes" (M22) / "Remboursement de frais par le CRPP et les autres CRPA" (M21)
Solde créditeur des comptes 71 "Production stockée"
Solde créditeur des comptes 72 "Production immobilisée"
Solde créditeur des comptes 73 "Dotations et produits de la tarification"
Solde créditeur des comptes 74 "Subventions d'exploitation et participations"</t>
    </r>
    <r>
      <rPr>
        <b/>
        <sz val="9"/>
        <color indexed="8"/>
        <rFont val="Century Gothic"/>
        <family val="2"/>
      </rPr>
      <t xml:space="preserve">
</t>
    </r>
  </si>
  <si>
    <r>
      <t xml:space="preserve">De manière optimale, le délai de rotation des créances doit être plus rapide que celui des dettes d'exploitation : la structure peut ainsi percevoir ce qui lui est dû avant de régler ses fournisseurs.
</t>
    </r>
    <r>
      <rPr>
        <u/>
        <sz val="9"/>
        <color indexed="8"/>
        <rFont val="Century Gothic"/>
        <family val="2"/>
      </rPr>
      <t>Avantages</t>
    </r>
    <r>
      <rPr>
        <sz val="9"/>
        <color indexed="8"/>
        <rFont val="Century Gothic"/>
        <family val="2"/>
      </rPr>
      <t xml:space="preserve"> :
*Le tarif hébergement est souvent réglé par les usagers/résidents à terme à échoir (début de mois donc en avance) ;
*Concernant le forfait dépendance, les résidents bénéficiant de l'APA la perçoivent environ le 20 de chaque mois.
</t>
    </r>
  </si>
  <si>
    <t>TdB ANAP : "Le montant de la CAF peut être affecté au remboursement des emprunts, à l'investissement ou au renforcement des fonds propres de la structure en vue des investissements futurs."
Mais attention, la vraie capacité d'autofinancement est la CAF nette : lorsque l'on soustrait de la CAF les remboursements d'emprunts.
La CAF nette représente la réelle marge de manoeuvre en termes d'endettement et d'investissement .</t>
  </si>
  <si>
    <t>Cet indicateur rapporte le total de l'encours de la dette à la capacité d'autofinancement de l'ESMS.
La durée apparente de la dette permet de mesurer, au 31 décembre N, la durée, en nombre d'années, nécessaire à l'ESMS pour rembourser l'encours de la dette s'il consacre sa capacité d'autofinancement (CAF) à cette fin.</t>
  </si>
  <si>
    <r>
      <rPr>
        <b/>
        <sz val="9"/>
        <color indexed="8"/>
        <rFont val="Century Gothic"/>
        <family val="2"/>
      </rPr>
      <t xml:space="preserve">Numérateur : Trésorerie nette - TN =
</t>
    </r>
    <r>
      <rPr>
        <i/>
        <u/>
        <sz val="9"/>
        <color indexed="8"/>
        <rFont val="Century Gothic"/>
        <family val="2"/>
      </rPr>
      <t>Financements à court terme</t>
    </r>
    <r>
      <rPr>
        <sz val="9"/>
        <color indexed="8"/>
        <rFont val="Century Gothic"/>
        <family val="2"/>
      </rPr>
      <t xml:space="preserve"> :</t>
    </r>
    <r>
      <rPr>
        <b/>
        <sz val="9"/>
        <color indexed="8"/>
        <rFont val="Century Gothic"/>
        <family val="2"/>
      </rPr>
      <t xml:space="preserve"> </t>
    </r>
    <r>
      <rPr>
        <sz val="9"/>
        <color indexed="8"/>
        <rFont val="Century Gothic"/>
        <family val="2"/>
      </rPr>
      <t>Solde du compte 1688 + Solde créditeur des comptes 18 (trésorerie court terme) + Solde du compte 404 + Solde du compte 4631 + Solde du compte 4634 + Solde des comptes 519 + détail du compte 5193</t>
    </r>
    <r>
      <rPr>
        <b/>
        <sz val="9"/>
        <color indexed="8"/>
        <rFont val="Century Gothic"/>
        <family val="2"/>
      </rPr>
      <t xml:space="preserve">
</t>
    </r>
    <r>
      <rPr>
        <i/>
        <u/>
        <sz val="9"/>
        <color indexed="8"/>
        <rFont val="Century Gothic"/>
        <family val="2"/>
      </rPr>
      <t>Liquidités</t>
    </r>
    <r>
      <rPr>
        <b/>
        <sz val="9"/>
        <color indexed="8"/>
        <rFont val="Century Gothic"/>
        <family val="2"/>
      </rPr>
      <t xml:space="preserve"> : </t>
    </r>
    <r>
      <rPr>
        <sz val="9"/>
        <color indexed="8"/>
        <rFont val="Century Gothic"/>
        <family val="2"/>
      </rPr>
      <t>Solde débiteur des comptes 18</t>
    </r>
    <r>
      <rPr>
        <b/>
        <sz val="9"/>
        <color indexed="8"/>
        <rFont val="Century Gothic"/>
        <family val="2"/>
      </rPr>
      <t xml:space="preserve"> + </t>
    </r>
    <r>
      <rPr>
        <sz val="9"/>
        <color indexed="8"/>
        <rFont val="Century Gothic"/>
        <family val="2"/>
      </rPr>
      <t>Solde du compte 462</t>
    </r>
    <r>
      <rPr>
        <b/>
        <sz val="9"/>
        <color indexed="8"/>
        <rFont val="Century Gothic"/>
        <family val="2"/>
      </rPr>
      <t xml:space="preserve"> + </t>
    </r>
    <r>
      <rPr>
        <sz val="9"/>
        <color indexed="8"/>
        <rFont val="Century Gothic"/>
        <family val="2"/>
      </rPr>
      <t>Solde des comptes 50 à 54</t>
    </r>
    <r>
      <rPr>
        <b/>
        <sz val="9"/>
        <color indexed="8"/>
        <rFont val="Century Gothic"/>
        <family val="2"/>
      </rPr>
      <t xml:space="preserve"> + </t>
    </r>
    <r>
      <rPr>
        <sz val="9"/>
        <color indexed="8"/>
        <rFont val="Century Gothic"/>
        <family val="2"/>
      </rPr>
      <t xml:space="preserve">détail du compte 516
</t>
    </r>
    <r>
      <rPr>
        <b/>
        <sz val="9"/>
        <color indexed="8"/>
        <rFont val="Century Gothic"/>
        <family val="2"/>
      </rPr>
      <t xml:space="preserve">
Dénominateur : Charges courantes annuelles =
</t>
    </r>
    <r>
      <rPr>
        <sz val="9"/>
        <color indexed="8"/>
        <rFont val="Century Gothic"/>
        <family val="2"/>
      </rPr>
      <t>Solde débiteur des comptes 60 "Achats et variation des stocks"
Solde débiteur des comptes 61 "Services extérieurs"
Solde débiteur des comptes 62 "Autres services extérieurs"
Solde débiteur des comptes 63 "Impôts, taxes et versements assimilés"
Solde débiteur des comptes 64 "Charges de personnel"
Solde débiteur des comptes 65 "Autres charges de gestion courante"</t>
    </r>
    <r>
      <rPr>
        <b/>
        <sz val="9"/>
        <color indexed="8"/>
        <rFont val="Century Gothic"/>
        <family val="2"/>
      </rPr>
      <t xml:space="preserve">
</t>
    </r>
    <r>
      <rPr>
        <sz val="9"/>
        <color indexed="8"/>
        <rFont val="Century Gothic"/>
        <family val="2"/>
      </rPr>
      <t xml:space="preserve">
</t>
    </r>
  </si>
  <si>
    <r>
      <t xml:space="preserve">Une </t>
    </r>
    <r>
      <rPr>
        <u/>
        <sz val="9"/>
        <rFont val="Century Gothic"/>
        <family val="2"/>
      </rPr>
      <t>gestion de trésorerie optimale</t>
    </r>
    <r>
      <rPr>
        <sz val="9"/>
        <rFont val="Century Gothic"/>
        <family val="2"/>
      </rPr>
      <t xml:space="preserve"> consiste à maintenir un niveau de liquidités permettant de faire face aux échéances, tout en optimisant le placement du reste du fonds disponible.
Une </t>
    </r>
    <r>
      <rPr>
        <u/>
        <sz val="9"/>
        <rFont val="Century Gothic"/>
        <family val="2"/>
      </rPr>
      <t xml:space="preserve">trésorerie nette </t>
    </r>
    <r>
      <rPr>
        <b/>
        <u/>
        <sz val="9"/>
        <rFont val="Century Gothic"/>
        <family val="2"/>
      </rPr>
      <t>positive</t>
    </r>
    <r>
      <rPr>
        <sz val="9"/>
        <rFont val="Century Gothic"/>
        <family val="2"/>
      </rPr>
      <t xml:space="preserve"> signifie que l'activité de la structure est financièrement viable : le fonds de roulement couvre suffisamment le besoin en fonds de roulement. Néanmoins, une TN positive met en lumière un manque à gagner pour l'ESMS : les liquidités dont il dispose n'étant pas placées, elles ne génèrent donc aucun intérêt.
A l'inverse, une </t>
    </r>
    <r>
      <rPr>
        <u/>
        <sz val="9"/>
        <rFont val="Century Gothic"/>
        <family val="2"/>
      </rPr>
      <t xml:space="preserve">trésorerie nette </t>
    </r>
    <r>
      <rPr>
        <b/>
        <u/>
        <sz val="9"/>
        <rFont val="Century Gothic"/>
        <family val="2"/>
      </rPr>
      <t>négative</t>
    </r>
    <r>
      <rPr>
        <sz val="9"/>
        <rFont val="Century Gothic"/>
        <family val="2"/>
      </rPr>
      <t xml:space="preserve"> met en évidence un besoin de fonds de roulement supérieur au fonds de roulement. On constate alors que la situation financière génère des frais financiers : afin de pallier à ce manque de trésorerie, les ESMS ont tendance à recourir à des lignes de trésorerie (celles-ci doivent couvrir des besoins ponctuels et non devenir un mode de financement sur le long terme) et à augmenter le délai de paiement de leurs fournisseurs. Mais il serait plus judicieux de diminuer son BFR en réduisant les stocks et/ou en diminuant les délais de paiement des usagers/résidents. Ou alors d'augmenter son FRNG en souscrivant un nouvel emprunt, en augmentant les apports/les fonds propres, et/ou en cédant des immobilisations.
On interprétera une </t>
    </r>
    <r>
      <rPr>
        <u/>
        <sz val="9"/>
        <rFont val="Century Gothic"/>
        <family val="2"/>
      </rPr>
      <t xml:space="preserve">Trésorerie Nette </t>
    </r>
    <r>
      <rPr>
        <b/>
        <u/>
        <sz val="9"/>
        <rFont val="Century Gothic"/>
        <family val="2"/>
      </rPr>
      <t>en nombre de jours de charges courantes</t>
    </r>
    <r>
      <rPr>
        <b/>
        <sz val="9"/>
        <rFont val="Century Gothic"/>
        <family val="2"/>
      </rPr>
      <t xml:space="preserve"> </t>
    </r>
    <r>
      <rPr>
        <sz val="9"/>
        <rFont val="Century Gothic"/>
        <family val="2"/>
      </rPr>
      <t xml:space="preserve">ainsi : </t>
    </r>
    <r>
      <rPr>
        <i/>
        <sz val="9"/>
        <rFont val="Century Gothic"/>
        <family val="2"/>
      </rPr>
      <t>"La TN de l'ESMS correspond à X jours de charges courantes."</t>
    </r>
  </si>
  <si>
    <t>(Disponibilités + Valeurs mobilières de placement)</t>
  </si>
  <si>
    <t>Découverts et avances bancaires à court terme</t>
  </si>
  <si>
    <t>La trésorerie nette correspond à la différence entre le FRNG et le BFR.
La trésorerie correspond au niveau de liquidités que possède la structure à un instant précis.
Son utilisation peut être immédiate, elle permet donc de couvrir des dettes à court terme, des imprévus.</t>
  </si>
  <si>
    <t>Ressources cycliques d'exploitation</t>
  </si>
  <si>
    <t>Passif circulant</t>
  </si>
  <si>
    <r>
      <t xml:space="preserve">Numérateur : Besoin en fonds de roulement - BFR =
</t>
    </r>
    <r>
      <rPr>
        <sz val="9"/>
        <color indexed="8"/>
        <rFont val="Century Gothic"/>
        <family val="2"/>
      </rPr>
      <t xml:space="preserve">Solde débiteur des comptes 3 "Stocks et en-cours"
Solde débiteur des comptes 4 "Tiers"
Solde créditeur des comptes 4 "Tiers" hors compte 49 "Dépréciation des comptes de tiers"
</t>
    </r>
    <r>
      <rPr>
        <b/>
        <sz val="9"/>
        <color indexed="8"/>
        <rFont val="Century Gothic"/>
        <family val="2"/>
      </rPr>
      <t xml:space="preserve">
Dénominateur : Charges courantes annuelles =
</t>
    </r>
    <r>
      <rPr>
        <sz val="9"/>
        <color indexed="8"/>
        <rFont val="Century Gothic"/>
        <family val="2"/>
      </rPr>
      <t>Solde des comptes 60 "Achats et variation des stocks"
Solde des comptes 61 "Services extérieurs"
Solde des comptes 62 "Autres services extérieurs"
Solde des comptes 63 "Impôts, taxes et versements assimilés"
Solde des comptes 64 "Charges de personnel"
Solde des comptes 65 "Autres charges de gestion courante"</t>
    </r>
  </si>
  <si>
    <r>
      <t xml:space="preserve">Le besoin en fonds de roulement correspond à la différence entre </t>
    </r>
    <r>
      <rPr>
        <b/>
        <i/>
        <u/>
        <sz val="9"/>
        <color indexed="30"/>
        <rFont val="Century Gothic"/>
        <family val="2"/>
      </rPr>
      <t>l'actif circulant</t>
    </r>
    <r>
      <rPr>
        <b/>
        <i/>
        <sz val="9"/>
        <color indexed="30"/>
        <rFont val="Century Gothic"/>
        <family val="2"/>
      </rPr>
      <t xml:space="preserve"> : les besoins immédiats qui sont à financer pour que l'exploitation, l'activité puisse fonctionner ; et le </t>
    </r>
    <r>
      <rPr>
        <b/>
        <i/>
        <u/>
        <sz val="9"/>
        <color indexed="30"/>
        <rFont val="Century Gothic"/>
        <family val="2"/>
      </rPr>
      <t>passif circulant</t>
    </r>
    <r>
      <rPr>
        <b/>
        <i/>
        <sz val="9"/>
        <color indexed="30"/>
        <rFont val="Century Gothic"/>
        <family val="2"/>
      </rPr>
      <t xml:space="preserve"> : les crédits obtenus auprès des "fournisseurs".
Tableau de bord de la performance : "Le BFR représente les besoins de financement générés par la structure."</t>
    </r>
  </si>
  <si>
    <t xml:space="preserve">Le fonds de roulement d'exploitation -FRE- correspond à la différence entre les financements stables d'exploitation (réserves et comptes d'affectation des excédents hors investissement), et les actifs stables d'exploitation (notamment les reports à nouveau déficitaires).
</t>
  </si>
  <si>
    <r>
      <t xml:space="preserve">Titre 1 : </t>
    </r>
    <r>
      <rPr>
        <b/>
        <i/>
        <sz val="10"/>
        <color indexed="8"/>
        <rFont val="Century Gothic"/>
        <family val="2"/>
      </rPr>
      <t>Charges de personnel</t>
    </r>
  </si>
  <si>
    <r>
      <t xml:space="preserve">Titre 2 : </t>
    </r>
    <r>
      <rPr>
        <b/>
        <i/>
        <sz val="10"/>
        <color indexed="8"/>
        <rFont val="Century Gothic"/>
        <family val="2"/>
      </rPr>
      <t>Charges à caractère médical</t>
    </r>
  </si>
  <si>
    <r>
      <t xml:space="preserve">Titre 3 : </t>
    </r>
    <r>
      <rPr>
        <b/>
        <i/>
        <sz val="10"/>
        <color indexed="8"/>
        <rFont val="Century Gothic"/>
        <family val="2"/>
      </rPr>
      <t>Charges à caractère hôtelier et général</t>
    </r>
  </si>
  <si>
    <r>
      <t xml:space="preserve">Titre 4 : </t>
    </r>
    <r>
      <rPr>
        <b/>
        <i/>
        <sz val="10"/>
        <color indexed="8"/>
        <rFont val="Century Gothic"/>
        <family val="2"/>
      </rPr>
      <t>Charges d'amortissements et de provisions</t>
    </r>
  </si>
  <si>
    <r>
      <t xml:space="preserve">Besoin en fonds de roulement </t>
    </r>
    <r>
      <rPr>
        <u/>
        <sz val="11"/>
        <color indexed="30"/>
        <rFont val="Century Gothic"/>
        <family val="2"/>
      </rPr>
      <t>ou</t>
    </r>
    <r>
      <rPr>
        <b/>
        <sz val="11"/>
        <color indexed="30"/>
        <rFont val="Century Gothic"/>
        <family val="2"/>
      </rPr>
      <t xml:space="preserve"> Excédent de financement d'exploitation</t>
    </r>
  </si>
  <si>
    <r>
      <t xml:space="preserve">Besoin en Fonds de Roulement - BFR </t>
    </r>
    <r>
      <rPr>
        <sz val="12"/>
        <color indexed="30"/>
        <rFont val="Century Gothic"/>
        <family val="2"/>
      </rPr>
      <t>(ou Excédent de financement d'exploitation)</t>
    </r>
  </si>
  <si>
    <r>
      <t xml:space="preserve">Résultat prévisionnel de l'exercice </t>
    </r>
    <r>
      <rPr>
        <b/>
        <sz val="10"/>
        <color indexed="23"/>
        <rFont val="Century Gothic"/>
        <family val="2"/>
      </rPr>
      <t>(excédent ou déficit)</t>
    </r>
  </si>
  <si>
    <t>BFR ou EFE en euros</t>
  </si>
  <si>
    <r>
      <rPr>
        <b/>
        <u/>
        <sz val="10"/>
        <color indexed="10"/>
        <rFont val="Century Gothic"/>
        <family val="2"/>
      </rPr>
      <t>Consignes</t>
    </r>
    <r>
      <rPr>
        <b/>
        <sz val="10"/>
        <color indexed="10"/>
        <rFont val="Century Gothic"/>
        <family val="2"/>
      </rPr>
      <t xml:space="preserve"> :
</t>
    </r>
    <r>
      <rPr>
        <sz val="10"/>
        <color indexed="10"/>
        <rFont val="Century Gothic"/>
        <family val="2"/>
      </rPr>
      <t xml:space="preserve">Deux présentations des comptes de résultat prévisionnels vous sont proposées : l'une </t>
    </r>
    <r>
      <rPr>
        <u/>
        <sz val="10"/>
        <color indexed="10"/>
        <rFont val="Century Gothic"/>
        <family val="2"/>
      </rPr>
      <t>en groupes fonctionnels</t>
    </r>
    <r>
      <rPr>
        <sz val="10"/>
        <color indexed="10"/>
        <rFont val="Century Gothic"/>
        <family val="2"/>
      </rPr>
      <t xml:space="preserve">, et l'autre </t>
    </r>
    <r>
      <rPr>
        <u/>
        <sz val="10"/>
        <color indexed="10"/>
        <rFont val="Century Gothic"/>
        <family val="2"/>
      </rPr>
      <t>en titres</t>
    </r>
    <r>
      <rPr>
        <sz val="10"/>
        <color indexed="10"/>
        <rFont val="Century Gothic"/>
        <family val="2"/>
      </rPr>
      <t xml:space="preserve">.
Complétez la colonne G ou T avec vos données de l'année N.
Proposez un pourcentage d'évolution pour chaque groupe fonctionnel (colonne H) ou chaque titre (colonne V) : les montants des années N+1 à N+5 se calculent alors automatiquement.
Les résultats prévisionnels se calculent de manière automatique pour chaque exercice (Total des produits - Total des charges).
</t>
    </r>
    <r>
      <rPr>
        <u/>
        <sz val="10"/>
        <color indexed="10"/>
        <rFont val="Century Gothic"/>
        <family val="2"/>
      </rPr>
      <t>Sources</t>
    </r>
    <r>
      <rPr>
        <sz val="10"/>
        <color indexed="10"/>
        <rFont val="Century Gothic"/>
        <family val="2"/>
      </rPr>
      <t xml:space="preserve"> : Compte financier N (compte administratif N), Budget prévisionnel N+1.
</t>
    </r>
  </si>
  <si>
    <t>% d'évolution du résultat prévisionnel</t>
  </si>
  <si>
    <r>
      <rPr>
        <b/>
        <sz val="10"/>
        <color indexed="17"/>
        <rFont val="Century Gothic"/>
        <family val="2"/>
      </rPr>
      <t>Capacité</t>
    </r>
    <r>
      <rPr>
        <b/>
        <sz val="10"/>
        <color indexed="36"/>
        <rFont val="Century Gothic"/>
        <family val="2"/>
      </rPr>
      <t>/</t>
    </r>
    <r>
      <rPr>
        <b/>
        <sz val="10"/>
        <color indexed="10"/>
        <rFont val="Century Gothic"/>
        <family val="2"/>
      </rPr>
      <t>Insuffisance</t>
    </r>
    <r>
      <rPr>
        <b/>
        <sz val="10"/>
        <color indexed="36"/>
        <rFont val="Century Gothic"/>
        <family val="2"/>
      </rPr>
      <t xml:space="preserve"> d'autofinancement</t>
    </r>
  </si>
  <si>
    <t xml:space="preserve">Le fonds de roulement d'investissement -FRI- est la différence entre les financements stables - les postes de ressources - et les biens stables - les postes d'emplois - : il correspond donc au surplus de financements de long terme d'investissement.
Certains postes de ressources sont affectés de manière évidente au financement d'opérations d'investissement et non d'exploitation.
</t>
  </si>
  <si>
    <r>
      <t xml:space="preserve">Un </t>
    </r>
    <r>
      <rPr>
        <u/>
        <sz val="9"/>
        <color indexed="8"/>
        <rFont val="Century Gothic"/>
        <family val="2"/>
      </rPr>
      <t xml:space="preserve">FRNG </t>
    </r>
    <r>
      <rPr>
        <b/>
        <u/>
        <sz val="9"/>
        <color indexed="8"/>
        <rFont val="Century Gothic"/>
        <family val="2"/>
      </rPr>
      <t>positif</t>
    </r>
    <r>
      <rPr>
        <b/>
        <sz val="9"/>
        <color indexed="8"/>
        <rFont val="Century Gothic"/>
        <family val="2"/>
      </rPr>
      <t xml:space="preserve"> </t>
    </r>
    <r>
      <rPr>
        <sz val="9"/>
        <color indexed="8"/>
        <rFont val="Century Gothic"/>
        <family val="2"/>
      </rPr>
      <t xml:space="preserve">signifie que les ressources de l'établissement peuvent financer ses biens et en dégager un "excédent". Ce surplus permettra de solder des besoins supplémentaires, de financer le besoin en fonds de roulement -BFR- </t>
    </r>
    <r>
      <rPr>
        <i/>
        <sz val="8"/>
        <color indexed="8"/>
        <rFont val="Century Gothic"/>
        <family val="2"/>
      </rPr>
      <t>(indicateur d'équilibre bilanciel)</t>
    </r>
    <r>
      <rPr>
        <sz val="9"/>
        <color indexed="8"/>
        <rFont val="Century Gothic"/>
        <family val="2"/>
      </rPr>
      <t xml:space="preserve">.
Le FRNG finance le cycle d'exploitation.
Si le </t>
    </r>
    <r>
      <rPr>
        <u/>
        <sz val="9"/>
        <color indexed="8"/>
        <rFont val="Century Gothic"/>
        <family val="2"/>
      </rPr>
      <t xml:space="preserve">FRNG est </t>
    </r>
    <r>
      <rPr>
        <b/>
        <u/>
        <sz val="9"/>
        <color indexed="8"/>
        <rFont val="Century Gothic"/>
        <family val="2"/>
      </rPr>
      <t>négatif</t>
    </r>
    <r>
      <rPr>
        <sz val="9"/>
        <color indexed="8"/>
        <rFont val="Century Gothic"/>
        <family val="2"/>
      </rPr>
      <t xml:space="preserve"> cela signifie que les ressources ne permettent pas de couvrir les emplois. Néanmoins, la situation d'un FRNG négatif ne peut être analysée seule : cela devient réellement alarmant lorsque le FRNG est inférieur au BFR.
On interprétera le </t>
    </r>
    <r>
      <rPr>
        <u/>
        <sz val="9"/>
        <color indexed="8"/>
        <rFont val="Century Gothic"/>
        <family val="2"/>
      </rPr>
      <t xml:space="preserve">FRNG </t>
    </r>
    <r>
      <rPr>
        <b/>
        <u/>
        <sz val="9"/>
        <color indexed="8"/>
        <rFont val="Century Gothic"/>
        <family val="2"/>
      </rPr>
      <t>en nombre de jours de charges courantes</t>
    </r>
    <r>
      <rPr>
        <sz val="9"/>
        <color indexed="8"/>
        <rFont val="Century Gothic"/>
        <family val="2"/>
      </rPr>
      <t xml:space="preserve"> en disant : </t>
    </r>
    <r>
      <rPr>
        <i/>
        <sz val="9"/>
        <color indexed="8"/>
        <rFont val="Century Gothic"/>
        <family val="2"/>
      </rPr>
      <t>"L'ESMS dispose d'un FRNG permettant de couvrir X jours de charges courantes."</t>
    </r>
  </si>
  <si>
    <t>Créances : diminution (volume et ou prix) ou accélération des délais de paiement</t>
  </si>
  <si>
    <r>
      <rPr>
        <u/>
        <sz val="9"/>
        <color indexed="10"/>
        <rFont val="Century Gothic"/>
        <family val="2"/>
      </rPr>
      <t>Consigne</t>
    </r>
    <r>
      <rPr>
        <sz val="9"/>
        <color indexed="10"/>
        <rFont val="Century Gothic"/>
        <family val="2"/>
      </rPr>
      <t xml:space="preserve"> :
Le Plan Pluriannuel de Financement permet d'anticiper les flux financiers des cinq prochaines années.
Ce plan se concentre sur les variations des grands indicateurs (FRNG, BFR et Trésorerie) et les liens existant entre eux.
</t>
    </r>
    <r>
      <rPr>
        <b/>
        <sz val="9"/>
        <color indexed="10"/>
        <rFont val="Century Gothic"/>
        <family val="2"/>
      </rPr>
      <t>Pour chaque ligne, veuillez renseigner les montants correspondant aux variations par rapport à l'exercice antérieur.</t>
    </r>
  </si>
  <si>
    <t>Montant de l'emprunt n°1 :</t>
  </si>
  <si>
    <t>Montant de l'emprunt n°2 :</t>
  </si>
  <si>
    <t>Durée de l'emprunt :</t>
  </si>
  <si>
    <t>Montant de l'emprunt n°3 :</t>
  </si>
  <si>
    <t>Année de l'emprunt :</t>
  </si>
  <si>
    <t>VNC fin N</t>
  </si>
  <si>
    <t>Année N</t>
  </si>
  <si>
    <t>N-2</t>
  </si>
  <si>
    <t>N-1</t>
  </si>
  <si>
    <t>Immobilisations financières - prêts, cautionnements versés..</t>
  </si>
  <si>
    <r>
      <rPr>
        <b/>
        <u/>
        <sz val="10"/>
        <color indexed="10"/>
        <rFont val="Century Gothic"/>
        <family val="2"/>
      </rPr>
      <t>Consigne</t>
    </r>
    <r>
      <rPr>
        <b/>
        <sz val="10"/>
        <color indexed="10"/>
        <rFont val="Century Gothic"/>
        <family val="2"/>
      </rPr>
      <t xml:space="preserve"> :
</t>
    </r>
    <r>
      <rPr>
        <sz val="10"/>
        <color indexed="10"/>
        <rFont val="Century Gothic"/>
        <family val="2"/>
      </rPr>
      <t xml:space="preserve">Munissez-vous de vos trois derniers comptes financiers (N-2, N-1 et N) et recopiez les données des trois années dans le cadre du bilan financier ci-dessous.
Certaines lignes de l'actif et du passif se calculent automatiquement, il est alors impossible de saisir des données :
</t>
    </r>
    <r>
      <rPr>
        <i/>
        <sz val="10"/>
        <color indexed="10"/>
        <rFont val="Century Gothic"/>
        <family val="2"/>
      </rPr>
      <t xml:space="preserve">ACTIF - Immobilisations corporelles brutes - ligne 22
PASSIF - Amortissements - ligne 28
</t>
    </r>
    <r>
      <rPr>
        <sz val="10"/>
        <color indexed="10"/>
        <rFont val="Century Gothic"/>
        <family val="2"/>
      </rPr>
      <t xml:space="preserve">Les totaux se calculent également de manière automatique.
Les bilans financiers permettent de calculer des indicateurs liés à la structure financière, à l'endettement et d'alimenter ceux de l'exploitation.
</t>
    </r>
    <r>
      <rPr>
        <u/>
        <sz val="10"/>
        <color indexed="10"/>
        <rFont val="Century Gothic"/>
        <family val="2"/>
      </rPr>
      <t>Sources</t>
    </r>
    <r>
      <rPr>
        <sz val="10"/>
        <color indexed="10"/>
        <rFont val="Century Gothic"/>
        <family val="2"/>
      </rPr>
      <t xml:space="preserve"> : Comptes financiers N-2, N-1 et N</t>
    </r>
  </si>
  <si>
    <r>
      <t>Définition</t>
    </r>
    <r>
      <rPr>
        <sz val="10"/>
        <color indexed="36"/>
        <rFont val="Century Gothic"/>
        <family val="2"/>
      </rPr>
      <t xml:space="preserve"> :</t>
    </r>
  </si>
  <si>
    <r>
      <t xml:space="preserve">L'excédent brut d'exploitation -EBE- correspond au flux potentiel de trésorerie que génère l'activité principale de l'établissement.
L'EBE ne prend pas en compte la politique de financement </t>
    </r>
    <r>
      <rPr>
        <i/>
        <sz val="9"/>
        <color indexed="23"/>
        <rFont val="Century Gothic"/>
        <family val="2"/>
      </rPr>
      <t>(charges financières hors périmètre)</t>
    </r>
    <r>
      <rPr>
        <b/>
        <i/>
        <sz val="9"/>
        <color indexed="23"/>
        <rFont val="Century Gothic"/>
        <family val="2"/>
      </rPr>
      <t xml:space="preserve">, ni d'investissement </t>
    </r>
    <r>
      <rPr>
        <i/>
        <sz val="9"/>
        <color indexed="23"/>
        <rFont val="Century Gothic"/>
        <family val="2"/>
      </rPr>
      <t>(dotations aux amortissements hors périmètre)</t>
    </r>
    <r>
      <rPr>
        <b/>
        <i/>
        <sz val="9"/>
        <color indexed="23"/>
        <rFont val="Century Gothic"/>
        <family val="2"/>
      </rPr>
      <t>, ni les évènements exceptionnels qui ont eu lieux.</t>
    </r>
  </si>
  <si>
    <t>Durée amort.</t>
  </si>
  <si>
    <r>
      <t xml:space="preserve">60 : Achats et Variation des stocks </t>
    </r>
    <r>
      <rPr>
        <sz val="7"/>
        <color indexed="8"/>
        <rFont val="Century Gothic"/>
        <family val="2"/>
      </rPr>
      <t>(déduction des comptes 609 et 602)</t>
    </r>
  </si>
  <si>
    <t>Ratios liés au patrimoine immobilier</t>
  </si>
  <si>
    <t xml:space="preserve">Vétusté des constructions </t>
  </si>
  <si>
    <t>Vétusté des constructions</t>
  </si>
  <si>
    <t>Vétusté des équipements</t>
  </si>
  <si>
    <t>Taux de vétusté des constructions</t>
  </si>
  <si>
    <t>Taux de vétusté des équipements</t>
  </si>
  <si>
    <t>Durée d'amortissement conseillée</t>
  </si>
  <si>
    <t>2 ans</t>
  </si>
  <si>
    <t>5 ans</t>
  </si>
  <si>
    <t>15 ans</t>
  </si>
  <si>
    <r>
      <rPr>
        <i/>
        <u/>
        <sz val="9"/>
        <color indexed="8"/>
        <rFont val="Century Gothic"/>
        <family val="2"/>
      </rPr>
      <t xml:space="preserve">dont </t>
    </r>
    <r>
      <rPr>
        <i/>
        <sz val="9"/>
        <color indexed="8"/>
        <rFont val="Century Gothic"/>
        <family val="2"/>
      </rPr>
      <t>frais financiers des nouveaux emprunts</t>
    </r>
  </si>
  <si>
    <r>
      <rPr>
        <i/>
        <u/>
        <sz val="9"/>
        <color indexed="8"/>
        <rFont val="Century Gothic"/>
        <family val="2"/>
      </rPr>
      <t xml:space="preserve">dont </t>
    </r>
    <r>
      <rPr>
        <i/>
        <sz val="9"/>
        <color indexed="8"/>
        <rFont val="Century Gothic"/>
        <family val="2"/>
      </rPr>
      <t>nouveaux amortissements (investissements du PPI)</t>
    </r>
  </si>
  <si>
    <r>
      <rPr>
        <i/>
        <u/>
        <sz val="9"/>
        <color indexed="8"/>
        <rFont val="Century Gothic"/>
        <family val="2"/>
      </rPr>
      <t>dont</t>
    </r>
    <r>
      <rPr>
        <i/>
        <sz val="9"/>
        <color indexed="8"/>
        <rFont val="Century Gothic"/>
        <family val="2"/>
      </rPr>
      <t xml:space="preserve"> nouveaux amortissements (investissements du PPI)</t>
    </r>
  </si>
  <si>
    <r>
      <rPr>
        <i/>
        <u/>
        <sz val="9"/>
        <color indexed="8"/>
        <rFont val="Century Gothic"/>
        <family val="2"/>
      </rPr>
      <t>dont</t>
    </r>
    <r>
      <rPr>
        <i/>
        <sz val="9"/>
        <color indexed="8"/>
        <rFont val="Century Gothic"/>
        <family val="2"/>
      </rPr>
      <t xml:space="preserve"> frais financiers des nouveaux emprunts</t>
    </r>
  </si>
  <si>
    <t xml:space="preserve">amortissements de l'exercice précédent la première année du plan </t>
  </si>
  <si>
    <t>a</t>
  </si>
  <si>
    <t xml:space="preserve">Amortissements des nouveaux investissements </t>
  </si>
  <si>
    <t>A</t>
  </si>
  <si>
    <t xml:space="preserve">Amortissements des charges à répartir </t>
  </si>
  <si>
    <t xml:space="preserve">Frais financiers de l'exercice précédent la première année du plan </t>
  </si>
  <si>
    <t>b</t>
  </si>
  <si>
    <t>B</t>
  </si>
  <si>
    <t xml:space="preserve">Frais financiers sur emprunts nouveaux </t>
  </si>
  <si>
    <t xml:space="preserve">Charges afférentes à l'exploitation courante                 </t>
  </si>
  <si>
    <t xml:space="preserve"> - </t>
  </si>
  <si>
    <t xml:space="preserve"> -</t>
  </si>
  <si>
    <t>Charges afférentes au personnel</t>
  </si>
  <si>
    <t>Autres charges afférentes à la structure</t>
  </si>
  <si>
    <t>(hors amortissements et frais financiers détaillés ci-dessus)</t>
  </si>
  <si>
    <t xml:space="preserve"> - Reprise sur les provisions pour renouvellement des immobilisations</t>
  </si>
  <si>
    <t>Tableau de surcoûts d'exploitation</t>
  </si>
  <si>
    <r>
      <t>Amortissements sur acquisitions antérieures à la 1</t>
    </r>
    <r>
      <rPr>
        <vertAlign val="superscript"/>
        <sz val="9"/>
        <rFont val="Century Gothic"/>
        <family val="2"/>
      </rPr>
      <t>ère</t>
    </r>
    <r>
      <rPr>
        <sz val="9"/>
        <rFont val="Century Gothic"/>
        <family val="2"/>
      </rPr>
      <t xml:space="preserve"> année du plan </t>
    </r>
  </si>
  <si>
    <r>
      <t>Frais financiers sur emprunts antérieurs à la 1</t>
    </r>
    <r>
      <rPr>
        <vertAlign val="superscript"/>
        <sz val="9"/>
        <rFont val="Century Gothic"/>
        <family val="2"/>
      </rPr>
      <t>ère</t>
    </r>
    <r>
      <rPr>
        <sz val="9"/>
        <rFont val="Century Gothic"/>
        <family val="2"/>
      </rPr>
      <t xml:space="preserve"> année du plan </t>
    </r>
  </si>
  <si>
    <r>
      <t xml:space="preserve">Surcoûts (+) ou économies (-) sur le </t>
    </r>
    <r>
      <rPr>
        <u/>
        <sz val="9"/>
        <color indexed="12"/>
        <rFont val="Century Gothic"/>
        <family val="2"/>
      </rPr>
      <t>GROUPE I</t>
    </r>
  </si>
  <si>
    <r>
      <t xml:space="preserve">Surcoûts (+) ou économies (-) sur les amortissements et frais financiers du </t>
    </r>
    <r>
      <rPr>
        <u/>
        <sz val="9"/>
        <color indexed="12"/>
        <rFont val="Century Gothic"/>
        <family val="2"/>
      </rPr>
      <t>GROUPE III</t>
    </r>
  </si>
  <si>
    <r>
      <t xml:space="preserve">Surcoûts (+) ou économies (-) sur le </t>
    </r>
    <r>
      <rPr>
        <u/>
        <sz val="9"/>
        <color indexed="12"/>
        <rFont val="Century Gothic"/>
        <family val="2"/>
      </rPr>
      <t>GROUPE II</t>
    </r>
  </si>
  <si>
    <r>
      <t xml:space="preserve">Surcoûts (+) ou économies (-) sur le </t>
    </r>
    <r>
      <rPr>
        <u/>
        <sz val="9"/>
        <color indexed="12"/>
        <rFont val="Century Gothic"/>
        <family val="2"/>
      </rPr>
      <t>GROUPE III</t>
    </r>
  </si>
  <si>
    <t>Taux d'apurement de la dette</t>
  </si>
  <si>
    <r>
      <t xml:space="preserve">On parle de capacité d'autofinancement - CAF - lorsque le résultat de ce calcul est positif, s'il est négatif il s'agit alors d'insuffisance de financement - IAF.
</t>
    </r>
    <r>
      <rPr>
        <b/>
        <u val="double"/>
        <sz val="9"/>
        <color indexed="36"/>
        <rFont val="Century Gothic"/>
        <family val="2"/>
      </rPr>
      <t>TdB ANAP</t>
    </r>
    <r>
      <rPr>
        <b/>
        <sz val="9"/>
        <color indexed="36"/>
        <rFont val="Century Gothic"/>
        <family val="2"/>
      </rPr>
      <t xml:space="preserve"> </t>
    </r>
    <r>
      <rPr>
        <b/>
        <i/>
        <sz val="9"/>
        <color indexed="36"/>
        <rFont val="Century Gothic"/>
        <family val="2"/>
      </rPr>
      <t>: "Cet indicateur traduit la capacité de l'établissement à dégager annuellement, grâce à l'exploitation, les fonds nécessaires aux investissements."</t>
    </r>
    <r>
      <rPr>
        <b/>
        <i/>
        <sz val="9"/>
        <color indexed="36"/>
        <rFont val="Century Gothic"/>
        <family val="2"/>
      </rPr>
      <t xml:space="preserve">
</t>
    </r>
  </si>
  <si>
    <r>
      <rPr>
        <u/>
        <sz val="10"/>
        <color indexed="36"/>
        <rFont val="Century Gothic"/>
        <family val="2"/>
      </rPr>
      <t>Interprétation</t>
    </r>
    <r>
      <rPr>
        <sz val="10"/>
        <color indexed="36"/>
        <rFont val="Century Gothic"/>
        <family val="2"/>
      </rPr>
      <t xml:space="preserve"> :</t>
    </r>
  </si>
  <si>
    <r>
      <rPr>
        <u/>
        <sz val="10"/>
        <color indexed="36"/>
        <rFont val="Century Gothic"/>
        <family val="2"/>
      </rPr>
      <t>Seuil d'alerte</t>
    </r>
    <r>
      <rPr>
        <sz val="10"/>
        <color indexed="36"/>
        <rFont val="Century Gothic"/>
        <family val="2"/>
      </rPr>
      <t xml:space="preserve"> :</t>
    </r>
  </si>
  <si>
    <r>
      <rPr>
        <u/>
        <sz val="10"/>
        <color indexed="36"/>
        <rFont val="Century Gothic"/>
        <family val="2"/>
      </rPr>
      <t>Comptes utilisés</t>
    </r>
    <r>
      <rPr>
        <sz val="10"/>
        <color indexed="36"/>
        <rFont val="Century Gothic"/>
        <family val="2"/>
      </rPr>
      <t xml:space="preserve"> : </t>
    </r>
  </si>
  <si>
    <r>
      <rPr>
        <u/>
        <sz val="10"/>
        <color indexed="36"/>
        <rFont val="Century Gothic"/>
        <family val="2"/>
      </rPr>
      <t>Calcul</t>
    </r>
    <r>
      <rPr>
        <sz val="10"/>
        <color indexed="36"/>
        <rFont val="Century Gothic"/>
        <family val="2"/>
      </rPr>
      <t xml:space="preserve"> : </t>
    </r>
  </si>
  <si>
    <t>C'est le rapport entre les immobilisations nettes et les dettes à moyen et long terme.</t>
  </si>
  <si>
    <t>Le ratio doit être supérieur à 1.</t>
  </si>
  <si>
    <t>62 : Autres services extérieurs (hors compte 621)</t>
  </si>
  <si>
    <t>+ 79 : Transferts de charges</t>
  </si>
  <si>
    <t>Ratios liés au patrimoine</t>
  </si>
  <si>
    <t>Suivre l'état du patrimoine</t>
  </si>
  <si>
    <r>
      <rPr>
        <u/>
        <sz val="10"/>
        <color indexed="57"/>
        <rFont val="Century Gothic"/>
        <family val="2"/>
      </rPr>
      <t>Calcul</t>
    </r>
    <r>
      <rPr>
        <sz val="10"/>
        <color indexed="57"/>
        <rFont val="Century Gothic"/>
        <family val="2"/>
      </rPr>
      <t xml:space="preserve"> :</t>
    </r>
  </si>
  <si>
    <r>
      <rPr>
        <u/>
        <sz val="10"/>
        <color indexed="57"/>
        <rFont val="Century Gothic"/>
        <family val="2"/>
      </rPr>
      <t>Comptes utilisés</t>
    </r>
    <r>
      <rPr>
        <sz val="10"/>
        <color indexed="57"/>
        <rFont val="Century Gothic"/>
        <family val="2"/>
      </rPr>
      <t xml:space="preserve"> : </t>
    </r>
  </si>
  <si>
    <r>
      <t>Définition</t>
    </r>
    <r>
      <rPr>
        <sz val="10"/>
        <color indexed="57"/>
        <rFont val="Century Gothic"/>
        <family val="2"/>
      </rPr>
      <t xml:space="preserve"> :</t>
    </r>
  </si>
  <si>
    <r>
      <rPr>
        <u/>
        <sz val="10"/>
        <color indexed="57"/>
        <rFont val="Century Gothic"/>
        <family val="2"/>
      </rPr>
      <t>Interprétation</t>
    </r>
    <r>
      <rPr>
        <sz val="10"/>
        <color indexed="57"/>
        <rFont val="Century Gothic"/>
        <family val="2"/>
      </rPr>
      <t xml:space="preserve"> :</t>
    </r>
  </si>
  <si>
    <r>
      <rPr>
        <u/>
        <sz val="10"/>
        <color indexed="57"/>
        <rFont val="Century Gothic"/>
        <family val="2"/>
      </rPr>
      <t>Seuil d'alerte</t>
    </r>
    <r>
      <rPr>
        <sz val="10"/>
        <color indexed="57"/>
        <rFont val="Century Gothic"/>
        <family val="2"/>
      </rPr>
      <t xml:space="preserve"> :</t>
    </r>
  </si>
  <si>
    <t>Collections et œuvres d'art</t>
  </si>
  <si>
    <r>
      <rPr>
        <u/>
        <sz val="10"/>
        <color indexed="36"/>
        <rFont val="Century Gothic"/>
        <family val="2"/>
      </rPr>
      <t>Calcul</t>
    </r>
    <r>
      <rPr>
        <sz val="10"/>
        <color indexed="36"/>
        <rFont val="Century Gothic"/>
        <family val="2"/>
      </rPr>
      <t xml:space="preserve"> :</t>
    </r>
  </si>
  <si>
    <r>
      <t xml:space="preserve">Un ratio faible, </t>
    </r>
    <r>
      <rPr>
        <u/>
        <sz val="9"/>
        <color indexed="8"/>
        <rFont val="Century Gothic"/>
        <family val="2"/>
      </rPr>
      <t>inférieur à 30%</t>
    </r>
    <r>
      <rPr>
        <sz val="9"/>
        <color indexed="8"/>
        <rFont val="Century Gothic"/>
        <family val="2"/>
      </rPr>
      <t xml:space="preserve">, signifie que l'équipement est globalement </t>
    </r>
    <r>
      <rPr>
        <b/>
        <sz val="9"/>
        <color indexed="8"/>
        <rFont val="Century Gothic"/>
        <family val="2"/>
      </rPr>
      <t>récent</t>
    </r>
    <r>
      <rPr>
        <sz val="9"/>
        <color indexed="8"/>
        <rFont val="Century Gothic"/>
        <family val="2"/>
      </rPr>
      <t xml:space="preserve">.
Un ratio élevé, </t>
    </r>
    <r>
      <rPr>
        <u/>
        <sz val="9"/>
        <color indexed="8"/>
        <rFont val="Century Gothic"/>
        <family val="2"/>
      </rPr>
      <t>supérieur à 60%</t>
    </r>
    <r>
      <rPr>
        <sz val="9"/>
        <color indexed="8"/>
        <rFont val="Century Gothic"/>
        <family val="2"/>
      </rPr>
      <t xml:space="preserve">, signifie que l'équipement est </t>
    </r>
    <r>
      <rPr>
        <b/>
        <sz val="9"/>
        <color indexed="8"/>
        <rFont val="Century Gothic"/>
        <family val="2"/>
      </rPr>
      <t xml:space="preserve">obsolète.
Questions clés d'analyse de l'indicateur : </t>
    </r>
    <r>
      <rPr>
        <b/>
        <sz val="9"/>
        <color indexed="57"/>
        <rFont val="Century Gothic"/>
        <family val="2"/>
      </rPr>
      <t>les équipements sont-ils vieillissants ? Si oui, des investissements sont-ils prévus ? Quand ? Quel en sera l'impact sur la situation financière ?</t>
    </r>
  </si>
  <si>
    <r>
      <t xml:space="preserve">Il est préférable que le taux de vétusté </t>
    </r>
    <r>
      <rPr>
        <b/>
        <u/>
        <sz val="9"/>
        <color indexed="10"/>
        <rFont val="Century Gothic"/>
        <family val="2"/>
      </rPr>
      <t>ne dépasse pas les 50%</t>
    </r>
    <r>
      <rPr>
        <b/>
        <sz val="9"/>
        <color indexed="10"/>
        <rFont val="Century Gothic"/>
        <family val="2"/>
      </rPr>
      <t>.</t>
    </r>
    <r>
      <rPr>
        <b/>
        <sz val="9"/>
        <color indexed="8"/>
        <rFont val="Century Gothic"/>
        <family val="2"/>
      </rPr>
      <t xml:space="preserve">
</t>
    </r>
    <r>
      <rPr>
        <b/>
        <u/>
        <sz val="9"/>
        <color indexed="8"/>
        <rFont val="Century Gothic"/>
        <family val="2"/>
      </rPr>
      <t>Limite</t>
    </r>
    <r>
      <rPr>
        <b/>
        <sz val="9"/>
        <color indexed="8"/>
        <rFont val="Century Gothic"/>
        <family val="2"/>
      </rPr>
      <t xml:space="preserve"> :</t>
    </r>
    <r>
      <rPr>
        <sz val="9"/>
        <color indexed="8"/>
        <rFont val="Century Gothic"/>
        <family val="2"/>
      </rPr>
      <t xml:space="preserve"> le taux ne peut être supérieur à 100% (si supérieur : amortissements supérieurs à la valeur d'acquisition).</t>
    </r>
  </si>
  <si>
    <t>Le taux de vétusté des équipements est le rapport entre les Amortissements des équipements et la valeur initiale des équipements (valeur des immobilisations).</t>
  </si>
  <si>
    <t>TdB ANAP : "C'est la comparaison du montant cumulé de l'amortissement des constructions avec la valeur brute des constructions."</t>
  </si>
  <si>
    <t xml:space="preserve">TdB ANAP : "Le taux de vétusté des constructions permet d'estimer le degré d'amortissements des constructions sur la base des éléments comptables. Plus le taux est élevé, plus les constructions sont amorties."
OPHELIE : "Un bâtiment est qualifié de vétuste quand son état est jugé médiocre, il est dégradé partiellement et qu'il rempli mal ses fonctions." </t>
  </si>
  <si>
    <t>TdB ANAP : "Le taux de vétusté des constructions est jugé atypique dès qu'il dépasse les 80%."</t>
  </si>
  <si>
    <t>Amortissements des actifs bruts immobilisés (constructions)</t>
  </si>
  <si>
    <t>Amortissements des actifs bruts immobilisés (équipements)</t>
  </si>
  <si>
    <t>Actifs bruts immobilisés (équipements)</t>
  </si>
  <si>
    <r>
      <t xml:space="preserve">Numérateur : Amortissements des actifs bruts immobilisés - équipements =
</t>
    </r>
    <r>
      <rPr>
        <sz val="9"/>
        <color indexed="8"/>
        <rFont val="Century Gothic"/>
        <family val="2"/>
      </rPr>
      <t>2812 - Amortissements des agencements et aménagements des terrains et plantations à demeure
2815 - Amortissements des installations, matériel et outillage techniques
2818 - Amortissements des autres immobilisations corporelles</t>
    </r>
    <r>
      <rPr>
        <b/>
        <sz val="9"/>
        <color indexed="8"/>
        <rFont val="Century Gothic"/>
        <family val="2"/>
      </rPr>
      <t xml:space="preserve">
Dénominateur : Actifs bruts immobilisés - équipements = 
</t>
    </r>
    <r>
      <rPr>
        <sz val="9"/>
        <color indexed="8"/>
        <rFont val="Century Gothic"/>
        <family val="2"/>
      </rPr>
      <t>212 - Agencements et aménagements des terrains et plantations à demeure
215 - Installations, matériel et outillage techniques
218 - Autres immobilisations corporelles</t>
    </r>
  </si>
  <si>
    <r>
      <t xml:space="preserve">Numérateur : Amortissements des actifs bruts immobilisés - constructions =
</t>
    </r>
    <r>
      <rPr>
        <sz val="9"/>
        <color indexed="8"/>
        <rFont val="Century Gothic"/>
        <family val="2"/>
      </rPr>
      <t xml:space="preserve">2813 - Amortissements des constructions sur sol propre
2814 - Amortissements des constructions sur sol d'autrui
</t>
    </r>
    <r>
      <rPr>
        <b/>
        <sz val="9"/>
        <color indexed="8"/>
        <rFont val="Century Gothic"/>
        <family val="2"/>
      </rPr>
      <t xml:space="preserve">
Dénominateur : Actifs bruts immobilisés - constructions =
</t>
    </r>
    <r>
      <rPr>
        <sz val="9"/>
        <color indexed="8"/>
        <rFont val="Century Gothic"/>
        <family val="2"/>
      </rPr>
      <t xml:space="preserve">213 - Constructions sur sol propre
214 - Constructions sur sol d'autrui
</t>
    </r>
  </si>
  <si>
    <t>Actifs bruts immobilisés (constructions)</t>
  </si>
  <si>
    <r>
      <t xml:space="preserve">TOTAL DES SURCOUTS ET/OU ECONOMIES
</t>
    </r>
    <r>
      <rPr>
        <sz val="9"/>
        <color indexed="9"/>
        <rFont val="Century Gothic"/>
        <family val="2"/>
      </rPr>
      <t>calculés pour chaque année par rapport à l'année précédant la première année du plan</t>
    </r>
  </si>
  <si>
    <t>Mise en service</t>
  </si>
  <si>
    <r>
      <t>Titre 1 :</t>
    </r>
    <r>
      <rPr>
        <b/>
        <i/>
        <sz val="10"/>
        <color indexed="8"/>
        <rFont val="Century Gothic"/>
        <family val="2"/>
      </rPr>
      <t xml:space="preserve"> Produits afférents aux soins</t>
    </r>
  </si>
  <si>
    <r>
      <t xml:space="preserve">Titre 2 : </t>
    </r>
    <r>
      <rPr>
        <b/>
        <i/>
        <sz val="10"/>
        <color indexed="8"/>
        <rFont val="Century Gothic"/>
        <family val="2"/>
      </rPr>
      <t>Produits afférents à la dépendance</t>
    </r>
  </si>
  <si>
    <r>
      <t xml:space="preserve">Titre 3 : </t>
    </r>
    <r>
      <rPr>
        <b/>
        <i/>
        <sz val="10"/>
        <color indexed="8"/>
        <rFont val="Century Gothic"/>
        <family val="2"/>
      </rPr>
      <t>Produits de l'hébergement</t>
    </r>
  </si>
  <si>
    <r>
      <t xml:space="preserve">Titre 4 : </t>
    </r>
    <r>
      <rPr>
        <b/>
        <i/>
        <sz val="10"/>
        <rFont val="Century Gothic"/>
        <family val="2"/>
      </rPr>
      <t>Autres produits</t>
    </r>
  </si>
  <si>
    <r>
      <rPr>
        <sz val="8"/>
        <rFont val="Century Gothic"/>
        <family val="2"/>
      </rPr>
      <t>Titre 4</t>
    </r>
    <r>
      <rPr>
        <b/>
        <sz val="8"/>
        <color indexed="23"/>
        <rFont val="Century Gothic"/>
        <family val="2"/>
      </rPr>
      <t xml:space="preserve"> : Autres produits</t>
    </r>
  </si>
  <si>
    <r>
      <rPr>
        <sz val="8"/>
        <rFont val="Century Gothic"/>
        <family val="2"/>
      </rPr>
      <t>Titre 3</t>
    </r>
    <r>
      <rPr>
        <b/>
        <sz val="8"/>
        <color indexed="23"/>
        <rFont val="Century Gothic"/>
        <family val="2"/>
      </rPr>
      <t xml:space="preserve"> : Produits afférents à l'hébergement</t>
    </r>
  </si>
  <si>
    <r>
      <rPr>
        <sz val="8"/>
        <rFont val="Century Gothic"/>
        <family val="2"/>
      </rPr>
      <t>Titre 2</t>
    </r>
    <r>
      <rPr>
        <b/>
        <sz val="8"/>
        <color indexed="23"/>
        <rFont val="Century Gothic"/>
        <family val="2"/>
      </rPr>
      <t xml:space="preserve"> : Produits afférents à la dépendance</t>
    </r>
  </si>
  <si>
    <r>
      <rPr>
        <sz val="8"/>
        <rFont val="Century Gothic"/>
        <family val="2"/>
      </rPr>
      <t>Titre 1</t>
    </r>
    <r>
      <rPr>
        <b/>
        <sz val="8"/>
        <color indexed="23"/>
        <rFont val="Century Gothic"/>
        <family val="2"/>
      </rPr>
      <t xml:space="preserve"> : Produits afférents aux soins</t>
    </r>
  </si>
  <si>
    <r>
      <rPr>
        <sz val="8"/>
        <rFont val="Century Gothic"/>
        <family val="2"/>
      </rPr>
      <t>Titre 1</t>
    </r>
    <r>
      <rPr>
        <b/>
        <sz val="8"/>
        <color indexed="23"/>
        <rFont val="Century Gothic"/>
        <family val="2"/>
      </rPr>
      <t xml:space="preserve"> : Charges de personnel</t>
    </r>
  </si>
  <si>
    <r>
      <rPr>
        <sz val="8"/>
        <rFont val="Century Gothic"/>
        <family val="2"/>
      </rPr>
      <t>Titre 2</t>
    </r>
    <r>
      <rPr>
        <b/>
        <sz val="8"/>
        <color indexed="23"/>
        <rFont val="Century Gothic"/>
        <family val="2"/>
      </rPr>
      <t xml:space="preserve"> : Charges à caractère médical</t>
    </r>
  </si>
  <si>
    <r>
      <rPr>
        <sz val="8"/>
        <rFont val="Century Gothic"/>
        <family val="2"/>
      </rPr>
      <t>Titre 3</t>
    </r>
    <r>
      <rPr>
        <b/>
        <sz val="8"/>
        <color indexed="23"/>
        <rFont val="Century Gothic"/>
        <family val="2"/>
      </rPr>
      <t xml:space="preserve"> : Charges à caractère hôtelier et général</t>
    </r>
  </si>
  <si>
    <r>
      <rPr>
        <sz val="8"/>
        <rFont val="Century Gothic"/>
        <family val="2"/>
      </rPr>
      <t>Titre 4</t>
    </r>
    <r>
      <rPr>
        <b/>
        <sz val="8"/>
        <color indexed="23"/>
        <rFont val="Century Gothic"/>
        <family val="2"/>
      </rPr>
      <t xml:space="preserve"> : Charges d'amortissements, de provisions et dépréciations financières et exceptionnelles</t>
    </r>
  </si>
  <si>
    <r>
      <t xml:space="preserve">Répartition des dépenses et recettes </t>
    </r>
    <r>
      <rPr>
        <b/>
        <u/>
        <sz val="11"/>
        <color indexed="23"/>
        <rFont val="Century Gothic"/>
        <family val="2"/>
      </rPr>
      <t>par titre</t>
    </r>
    <r>
      <rPr>
        <b/>
        <sz val="11"/>
        <rFont val="Century Gothic"/>
        <family val="2"/>
      </rPr>
      <t xml:space="preserve"> de la M21 </t>
    </r>
    <r>
      <rPr>
        <sz val="11"/>
        <color indexed="23"/>
        <rFont val="Century Gothic"/>
        <family val="2"/>
      </rPr>
      <t>(%)</t>
    </r>
  </si>
  <si>
    <r>
      <t xml:space="preserve">Dénominateur : Encours de la dette à moyen et long terme =
</t>
    </r>
    <r>
      <rPr>
        <sz val="9"/>
        <color indexed="8"/>
        <rFont val="Century Gothic"/>
        <family val="2"/>
      </rPr>
      <t>Solde créditeur des comptes 16 "Emprunts et dettes assimilées" - hors compte 1688 "Intérêts courus" et 169 "Primes de remboursement des obligations"</t>
    </r>
  </si>
  <si>
    <t>Immobilisations nettes amortissables</t>
  </si>
  <si>
    <r>
      <rPr>
        <b/>
        <sz val="9"/>
        <color indexed="8"/>
        <rFont val="Century Gothic"/>
        <family val="2"/>
      </rPr>
      <t>Numérateur : Immobilisations nettes amortissables =</t>
    </r>
    <r>
      <rPr>
        <sz val="9"/>
        <color indexed="8"/>
        <rFont val="Century Gothic"/>
        <family val="2"/>
      </rPr>
      <t xml:space="preserve">
Solde du compte 212 "Agencements et aménagements des terrains"
Solde du compte 213 "Constructions sur sol propre"
Solde du compte 214 "Constructions sur sol d'autrui"
Solde du compte 215 "Installations, matériel et outillage techniques"
Solde du compte 218 "Autres immobilisations corporelles"
Solde du compte 2812 "Amortissements des agencements et aménagements des terrains"
Solde du compte 2813 "Amortissements des constructions sur sol propre"
Solde du compte 2814 "Amortissements sur sol d'autrui"
Solde du compte 2815 "Amortissements des installations, matériel et outillage techniques"
Solde du compte 2818 "Amortissements des autres immobilisations corporelles"</t>
    </r>
  </si>
  <si>
    <r>
      <t xml:space="preserve">TN </t>
    </r>
    <r>
      <rPr>
        <sz val="11"/>
        <color indexed="30"/>
        <rFont val="Century Gothic"/>
        <family val="2"/>
      </rPr>
      <t>en euros</t>
    </r>
  </si>
  <si>
    <r>
      <t xml:space="preserve">BFR </t>
    </r>
    <r>
      <rPr>
        <sz val="11"/>
        <color indexed="30"/>
        <rFont val="Century Gothic"/>
        <family val="2"/>
      </rPr>
      <t>en euros</t>
    </r>
  </si>
  <si>
    <r>
      <t xml:space="preserve">Excédent </t>
    </r>
    <r>
      <rPr>
        <sz val="11"/>
        <color indexed="30"/>
        <rFont val="Century Gothic"/>
        <family val="2"/>
      </rPr>
      <t>en euros</t>
    </r>
  </si>
  <si>
    <r>
      <t xml:space="preserve">FRNG </t>
    </r>
    <r>
      <rPr>
        <sz val="11"/>
        <color indexed="30"/>
        <rFont val="Century Gothic"/>
        <family val="2"/>
      </rPr>
      <t>en euros</t>
    </r>
  </si>
  <si>
    <r>
      <t xml:space="preserve">FRE </t>
    </r>
    <r>
      <rPr>
        <sz val="11"/>
        <color indexed="30"/>
        <rFont val="Century Gothic"/>
        <family val="2"/>
      </rPr>
      <t>cumulé</t>
    </r>
  </si>
  <si>
    <r>
      <t xml:space="preserve">FRI </t>
    </r>
    <r>
      <rPr>
        <sz val="11"/>
        <color indexed="30"/>
        <rFont val="Century Gothic"/>
        <family val="2"/>
      </rPr>
      <t>cumulé</t>
    </r>
  </si>
  <si>
    <t>TOTAL
Amortissements</t>
  </si>
  <si>
    <t xml:space="preserve"> </t>
  </si>
  <si>
    <t>Quel est votre degré de satisfaction quant à :</t>
  </si>
  <si>
    <t>L'ergonomie de l'outil ?</t>
  </si>
  <si>
    <t>La pertinence de l'outil ?</t>
  </si>
  <si>
    <t>La durée de remplissage de l'outil ?</t>
  </si>
  <si>
    <t>Quel est votre degré de satisfaction globale de l'outil ?</t>
  </si>
  <si>
    <t>Quelles sont vos suggestions pour améliorer l'outil ?</t>
  </si>
  <si>
    <t>Etude rétrospective (1) :</t>
  </si>
  <si>
    <t>Etude prospective (2) :</t>
  </si>
  <si>
    <t>Si Pas du tout ou Peu satisfaisant, pour quelle(s) raison(s) ?</t>
  </si>
  <si>
    <t>Avez-vous eu des difficultés à compléter certaines données ?</t>
  </si>
  <si>
    <t>Un accompagnement au remplissage de l'outil est-il souhaité/attendu par la structure ?</t>
  </si>
  <si>
    <t>Pourquoi avez-vous souhaité utiliser l'outil ?</t>
  </si>
  <si>
    <t>Comment pensez-vous utiliser les restitutions ?</t>
  </si>
  <si>
    <r>
      <rPr>
        <b/>
        <u/>
        <sz val="11"/>
        <color theme="1"/>
        <rFont val="Century Gothic"/>
        <family val="2"/>
      </rPr>
      <t>Commentaires</t>
    </r>
    <r>
      <rPr>
        <b/>
        <sz val="11"/>
        <color theme="1"/>
        <rFont val="Century Gothic"/>
        <family val="2"/>
      </rPr>
      <t xml:space="preserve"> :</t>
    </r>
  </si>
  <si>
    <t>Combien de temps avez-vous consacré au renseignement de ces deux études ?</t>
  </si>
  <si>
    <t xml:space="preserve">Quels nouveaux éléments pourraient être intégrés dans l'outil ? </t>
  </si>
  <si>
    <t>N°</t>
  </si>
  <si>
    <t>Question</t>
  </si>
  <si>
    <t>Réponse</t>
  </si>
  <si>
    <t>Combien de temps avez-vous consacré au renseignement de ces deux études - étude rétrospective</t>
  </si>
  <si>
    <t>Combien de temps avez-vous consacré au renseignement de ces deux études - étude prospective</t>
  </si>
  <si>
    <t>Quel est votre degré de satisfaction quant à : l'ergonomie de l'outil</t>
  </si>
  <si>
    <t>Quel est votre degré de satisfaction quant à : la pertinence de l'outil</t>
  </si>
  <si>
    <t>Quel est votre degré de satisfaction quant à : la durée de remplissage de l'outil</t>
  </si>
  <si>
    <t>Commentaires :</t>
  </si>
  <si>
    <t>Retour d'expérience - Utilisation AutoDiagFi-ESMS</t>
  </si>
  <si>
    <t xml:space="preserve">Mise à jour le </t>
  </si>
  <si>
    <t>Mode d'amortissement dégressif (à amortir sur une période &gt; à 3 ans)</t>
  </si>
  <si>
    <r>
      <rPr>
        <b/>
        <u/>
        <sz val="10"/>
        <color indexed="10"/>
        <rFont val="Century Gothic"/>
        <family val="2"/>
      </rPr>
      <t>Consignes</t>
    </r>
    <r>
      <rPr>
        <b/>
        <sz val="10"/>
        <color indexed="10"/>
        <rFont val="Century Gothic"/>
        <family val="2"/>
      </rPr>
      <t xml:space="preserve"> :
</t>
    </r>
    <r>
      <rPr>
        <sz val="10"/>
        <color indexed="10"/>
        <rFont val="Century Gothic"/>
        <family val="2"/>
      </rPr>
      <t xml:space="preserve">L'outil propose </t>
    </r>
    <r>
      <rPr>
        <u/>
        <sz val="10"/>
        <color indexed="10"/>
        <rFont val="Century Gothic"/>
        <family val="2"/>
      </rPr>
      <t>2 modes d'amortissement</t>
    </r>
    <r>
      <rPr>
        <sz val="10"/>
        <color indexed="10"/>
        <rFont val="Century Gothic"/>
        <family val="2"/>
      </rPr>
      <t xml:space="preserve"> : linéaire ou dégressif. 
Choisissez, selon votre bien, le mode d'amortissement que vous souhaitez.
Quel que soit votre mode d'amortissement, vous devez renseigner pour chaque bien :
- le type de bien,
- la catégorie de l'immobilisation </t>
    </r>
    <r>
      <rPr>
        <i/>
        <sz val="10"/>
        <color indexed="10"/>
        <rFont val="Century Gothic"/>
        <family val="2"/>
      </rPr>
      <t>(liste déroualante dans la cellule</t>
    </r>
    <r>
      <rPr>
        <sz val="10"/>
        <color indexed="10"/>
        <rFont val="Century Gothic"/>
        <family val="2"/>
      </rPr>
      <t xml:space="preserve">),
- la valeur d'achat,
- l'année et le mois de l'acquisition </t>
    </r>
    <r>
      <rPr>
        <i/>
        <sz val="10"/>
        <color indexed="10"/>
        <rFont val="Century Gothic"/>
        <family val="2"/>
      </rPr>
      <t>(liste déroualante dans la cellule; en cas d'acquisition avant l'année N, tapez directement dans la cellule au format AAAA</t>
    </r>
    <r>
      <rPr>
        <sz val="10"/>
        <color indexed="10"/>
        <rFont val="Century Gothic"/>
        <family val="2"/>
      </rPr>
      <t xml:space="preserve">),
- et, la durée d'amortissement choisie.
</t>
    </r>
    <r>
      <rPr>
        <b/>
        <sz val="10"/>
        <color indexed="10"/>
        <rFont val="Century Gothic"/>
        <family val="2"/>
      </rPr>
      <t>Les amortissements se calculent automatiquement grâce aux données renseignées.</t>
    </r>
  </si>
  <si>
    <r>
      <rPr>
        <b/>
        <sz val="9"/>
        <color indexed="8"/>
        <rFont val="Century Gothic"/>
        <family val="2"/>
      </rPr>
      <t xml:space="preserve">Numérateur : Fonds de roulement d'investissement = </t>
    </r>
    <r>
      <rPr>
        <i/>
        <sz val="9"/>
        <color indexed="8"/>
        <rFont val="Century Gothic"/>
        <family val="2"/>
      </rPr>
      <t>voir comptes utilisés ci-dessus</t>
    </r>
    <r>
      <rPr>
        <b/>
        <sz val="9"/>
        <color indexed="8"/>
        <rFont val="Century Gothic"/>
        <family val="2"/>
      </rPr>
      <t xml:space="preserve">
</t>
    </r>
    <r>
      <rPr>
        <sz val="9"/>
        <color indexed="8"/>
        <rFont val="Century Gothic"/>
        <family val="2"/>
      </rPr>
      <t xml:space="preserve">
</t>
    </r>
    <r>
      <rPr>
        <b/>
        <sz val="9"/>
        <color indexed="8"/>
        <rFont val="Century Gothic"/>
        <family val="2"/>
      </rPr>
      <t xml:space="preserve">Immobilisations brutes amortissables =
</t>
    </r>
    <r>
      <rPr>
        <sz val="9"/>
        <color indexed="8"/>
        <rFont val="Century Gothic"/>
        <family val="2"/>
      </rPr>
      <t xml:space="preserve">Solde des comptes 20 + Solde des comptes 212 + Solde des comptes 213 + Solde des comptes 214 + Solde des comptes 215 + Solde des comptes 218
</t>
    </r>
    <r>
      <rPr>
        <b/>
        <sz val="9"/>
        <color indexed="8"/>
        <rFont val="Century Gothic"/>
        <family val="2"/>
      </rPr>
      <t xml:space="preserve">
</t>
    </r>
  </si>
  <si>
    <t>&lt;= Dégrouper</t>
  </si>
  <si>
    <t>Version 9 / les mises à jour :</t>
  </si>
  <si>
    <t>3. Adaptation des commentaires (onglet tableau de surcoût d’exploitation)</t>
  </si>
  <si>
    <t>4. Correction de l'inversement de la formule de calul du  taux d’apurement de la dette  (onglet analyse prospective (1))</t>
  </si>
  <si>
    <t>5. Suppression de cellule de "présentation" (cellule vide) dans le calcul du taux d'indépendance financière (onglet analyse prospective (1))</t>
  </si>
  <si>
    <t>Version 8 / les mises à jour :</t>
  </si>
  <si>
    <t>2. Correction de la formule en ligne 48 de l'onglet Plan pluriannuel de financement</t>
  </si>
  <si>
    <t>3. Ajout de 40 lignes de saisie pour les amortissements linéaires (onglet PPI)</t>
  </si>
  <si>
    <t>1. Rectifications sur les formules de l'onglet PPI (fiabilisant ainsi le report des données dans les onglets suivants)</t>
  </si>
  <si>
    <t xml:space="preserve">1. Modification de la présentation des calculs d'amortissements (onglet PPI) : présentation annuelle par colonne, à partir de l'année N précisée dans le bilan financier. </t>
  </si>
  <si>
    <t>Ce qui permet de vérifier la consolidation des amortissements - 3è tableau- plus aisément.</t>
  </si>
  <si>
    <t>Dans la V8, les années concernées étaient précisées dans les colonnes masquées)</t>
  </si>
  <si>
    <t>2. Correction des formules (onglet Plan Pluriannuel de Financement) pour inclure l'ajout des lignes de saisie dans le PPI</t>
  </si>
  <si>
    <t>6. Ajout de la cellule "Plan pluriannuel de financement'!C55" dans le calcul du taux d'indépendance financière. Le taux doit comprendre autant la « Reprise des déficits d'exploitation » que les « Dotations aux provisions pour risques et charges ».</t>
  </si>
  <si>
    <t>Table de correspondance (ne pas suppr)</t>
  </si>
  <si>
    <t>Programme Pluriannuel d'Investissement</t>
  </si>
  <si>
    <t>Comptes</t>
  </si>
  <si>
    <t>Expliquer le calcul du compte 787 et 687</t>
  </si>
  <si>
    <t xml:space="preserve">6871 - Dotations aux amortissements exceptionnels des immobilisations </t>
  </si>
  <si>
    <t xml:space="preserve">6872 - Dotations aux provisions réglementées (immobilisations) </t>
  </si>
  <si>
    <t>68725 - Dotations aux amortissements dérogatoires</t>
  </si>
  <si>
    <t>68741 - Dotations aux provisions réglementées destinées à renforcer la couverture du besoin en fonds de roulement</t>
  </si>
  <si>
    <t xml:space="preserve">68748 - Autres </t>
  </si>
  <si>
    <t>6876 - Dotations aux dépréciations exceptionnelles</t>
  </si>
  <si>
    <t xml:space="preserve">68742 – Dotations aux provisions réglementées pour renouvellement des immobilisations </t>
  </si>
  <si>
    <t xml:space="preserve">6874 - Dotations aux autres provisions réglementées </t>
  </si>
  <si>
    <t xml:space="preserve">7872 - Reprises sur provisions réglementées (immobilisations) </t>
  </si>
  <si>
    <t xml:space="preserve">78725 - Reprise sur amortissements dérogatoires </t>
  </si>
  <si>
    <t>7874 - Reprises sur autres provisions réglementées</t>
  </si>
  <si>
    <t xml:space="preserve">78741 - Reprises sur provisions réglementées destinées à renforcer la couverture du besoin en fonds de roulement </t>
  </si>
  <si>
    <t xml:space="preserve">78742 – Reprises sur provisions réglementées pour renouvellement des immobilisations </t>
  </si>
  <si>
    <t xml:space="preserve">78748 - Autres </t>
  </si>
  <si>
    <t>7876 - Reprises sur dépréciations exceptionnelles</t>
  </si>
  <si>
    <t>Le compte 687 "Dotations aux amortissements, aux dépréciations et aux provisions : charges
exceptionnelles
" est composé des sous-comptes :</t>
  </si>
  <si>
    <t>Le compte 787 " Reprises sur dépréciations et provisions (à inscrire dans les produits exceptionnels) "est composé des sous-comptes :</t>
  </si>
  <si>
    <t>Ratio d'apurement de la dette</t>
  </si>
  <si>
    <t>Le ratio d'apurement de la dette permet de mesurer la capacité de remboursement du capital des emprunts de l'établissement par l'autofinancement généré.
Le ratio doit être supérieur à 1 pour couvrir le remboursement du capital des emprunts, et être en capacité de renouveler ses immobilisations.</t>
  </si>
  <si>
    <t xml:space="preserve">Prudence : le ratio de vétusté prend en compte les "IGAAC" (compte 2135). </t>
  </si>
  <si>
    <t>Etant donné l'hétérogénéité des durées d'amortissement, ce ratio fait davantage office de "moyenne".</t>
  </si>
  <si>
    <t>Nouveaux emprunts</t>
  </si>
  <si>
    <t>Adresse :</t>
  </si>
  <si>
    <t>Ã</t>
  </si>
  <si>
    <t>7. Correction de la formule du taux d'indépendance financière et vetusté des constructions</t>
  </si>
  <si>
    <t>8. Mise en forme. Ajout d'une page FINESS</t>
  </si>
  <si>
    <t>Bâtiments avec mise en service N+1</t>
  </si>
  <si>
    <t>Bâtiments avec mise en service N</t>
  </si>
  <si>
    <t>Nom du directeur ou de la personne ayant qualité pour représenter l'établissement</t>
  </si>
  <si>
    <t xml:space="preserve">Date de la dernière habilitation : </t>
  </si>
  <si>
    <t xml:space="preserve">Département : </t>
  </si>
  <si>
    <t xml:space="preserve">Téléphone / FAX / Email : </t>
  </si>
  <si>
    <t>Catégorie d'établissement ou de service</t>
  </si>
  <si>
    <t>445 - Service d'accompagnement médico-social pour adultes handicapés (SAMSAH)</t>
  </si>
  <si>
    <t>Montant du projet d'investissement</t>
  </si>
  <si>
    <t>autorité de validation projet d'investissement</t>
  </si>
  <si>
    <t>Date</t>
  </si>
  <si>
    <t>182 - Service d'éducation spéciale et de soins à domicile (SESSAD)</t>
  </si>
  <si>
    <t>183 - Institut médico-éducatif (IME)</t>
  </si>
  <si>
    <t>186 - Institut thérapeutique, éducatif et pédagogique (ITEP)</t>
  </si>
  <si>
    <t>188 - Etablissement pour enfants et adolescents polyhandicapés (EEAP)</t>
  </si>
  <si>
    <t>192 - Etablissement pour déficients moteurs (IEM)</t>
  </si>
  <si>
    <t>194 - Institut pour déficients visuels</t>
  </si>
  <si>
    <t>195 - Institut pour déficients auditifs</t>
  </si>
  <si>
    <t>196 - Institut d'éducation sensorielle pour enfants sourds/aveugles</t>
  </si>
  <si>
    <t>198 - Centre de préorientation pour adultes handicapés (CPO)</t>
  </si>
  <si>
    <t>209 - Service polyvalent d'aide et soins à domicile (SPASAD)</t>
  </si>
  <si>
    <t>221 - Bureau d'aide psychologique universitaire (BAPU)</t>
  </si>
  <si>
    <t>238 - Centre d'accueil familial spécialisé (CAFS)</t>
  </si>
  <si>
    <t>246 - Etablissement et service d'aide par le travail (ESAT)</t>
  </si>
  <si>
    <t>249 - Centre de rééducation professionnelle (CRP)</t>
  </si>
  <si>
    <t>255 - Maison d'accueil spécialisée (MAS)</t>
  </si>
  <si>
    <t>354 - Service de soins infirmiers à domicile (SSIAD)</t>
  </si>
  <si>
    <t>377 - Etablissement expérimental pour l'enfance handicapée</t>
  </si>
  <si>
    <t>379 - Etablissement expérimental pour adultes handicapés</t>
  </si>
  <si>
    <t>390 - Etablissement d'accueil temporaire d'enfants handicapés</t>
  </si>
  <si>
    <t>395 - Etablissement d'accueil temporaire d'adultes handicapés</t>
  </si>
  <si>
    <t>396 - Foyer Hébergement Enfants et Adolescents Handicapés</t>
  </si>
  <si>
    <t>402 - Jardin d'enfants spécialisé</t>
  </si>
  <si>
    <t>437 - Foyer d'accueil médicalisé pour adultes handicapés (FAM)</t>
  </si>
  <si>
    <t>461 - Centre de ressources  (CR)</t>
  </si>
  <si>
    <t>464 - Unité d'évaluation, de réentraînement et d'évaluation sociale (UEROS)</t>
  </si>
  <si>
    <t>Liste déroulante</t>
  </si>
  <si>
    <t>Reservé à l'administration</t>
  </si>
  <si>
    <t>PROGRAMME D'INVESTISSEMENT</t>
  </si>
  <si>
    <t>Ordre de priorité</t>
  </si>
  <si>
    <t>Nature de l'opération prévue</t>
  </si>
  <si>
    <t>Coût (par tranche si nécessaire)</t>
  </si>
  <si>
    <t>Date de réalisation probable</t>
  </si>
  <si>
    <t>Durée d'amortis-sement</t>
  </si>
  <si>
    <t>Mode d'amortis-sement</t>
  </si>
  <si>
    <t>Financement prévu</t>
  </si>
  <si>
    <r>
      <t xml:space="preserve">Autofi-nancement </t>
    </r>
    <r>
      <rPr>
        <sz val="8"/>
        <rFont val="Arial"/>
        <family val="2"/>
      </rPr>
      <t>(1)</t>
    </r>
  </si>
  <si>
    <r>
      <t>Subvention ou apport</t>
    </r>
    <r>
      <rPr>
        <sz val="8"/>
        <rFont val="Arial"/>
        <family val="2"/>
      </rPr>
      <t xml:space="preserve"> (2)</t>
    </r>
  </si>
  <si>
    <r>
      <t xml:space="preserve">Emprunts </t>
    </r>
    <r>
      <rPr>
        <sz val="8"/>
        <rFont val="Arial"/>
        <family val="2"/>
      </rPr>
      <t>(3)</t>
    </r>
  </si>
  <si>
    <r>
      <t xml:space="preserve">Total 
</t>
    </r>
    <r>
      <rPr>
        <sz val="8"/>
        <rFont val="Arial"/>
        <family val="2"/>
      </rPr>
      <t>(de 1 à 3)</t>
    </r>
  </si>
  <si>
    <t>Montant</t>
  </si>
  <si>
    <t>Taux</t>
  </si>
  <si>
    <t>Durée</t>
  </si>
  <si>
    <t>TOTAL</t>
  </si>
  <si>
    <t>Retenu par l'autorité de tarification (cadre réservé à l'administration)</t>
  </si>
  <si>
    <t>Cette application est la propriété intellectuelle d'Emmanuel SILVY. Elle fait l'objet d'une protection déposée au nom du CIFO. Toute infraction à la loi sera poursuivie sans délai auprès du tribunal de Montpellier.</t>
  </si>
  <si>
    <t xml:space="preserve"> TABLEAU DES EMPRUNTS NOUVEAUX SOUMIS A AUTORISATION</t>
  </si>
  <si>
    <t>Organisme prêteur</t>
  </si>
  <si>
    <t>Date de souscription</t>
  </si>
  <si>
    <t>Durée (années)</t>
  </si>
  <si>
    <t>Taux %</t>
  </si>
  <si>
    <t>Dette en fin d'exercice précédent</t>
  </si>
  <si>
    <t>Capital</t>
  </si>
  <si>
    <t xml:space="preserve">TOTAL </t>
  </si>
  <si>
    <t>Mode d'amortissement linéaire (500 lignes de remplissage)</t>
  </si>
  <si>
    <t>PPI CONSOLIDÉ</t>
  </si>
  <si>
    <t>ASSOCIATION MARIE MOREAU</t>
  </si>
  <si>
    <t>SESSAD MARIE MOREAU</t>
  </si>
  <si>
    <t>ITEP MARIE MOREAU</t>
  </si>
  <si>
    <t>ITEP HENRI WALLON</t>
  </si>
  <si>
    <t>SESSAD HENRI WALLON</t>
  </si>
  <si>
    <t>EQUIPE MOBILE RESSOURCES</t>
  </si>
  <si>
    <t>ASSOCIATION FELIX JEAN MARCHAIS</t>
  </si>
  <si>
    <t>ARPS</t>
  </si>
  <si>
    <t>SESSAD APICS</t>
  </si>
  <si>
    <t>ADAPEI 44</t>
  </si>
  <si>
    <t>APAJH 44</t>
  </si>
  <si>
    <t>ARTA</t>
  </si>
  <si>
    <t>MAS LES ROMANS</t>
  </si>
  <si>
    <t>ASSOCIATION LES RECOLLETS LA TREMBLAYE</t>
  </si>
  <si>
    <t>GCSMS EPSMS ESPACES ANJOU</t>
  </si>
  <si>
    <t>MAS LA PALOMBERIE</t>
  </si>
  <si>
    <t>MAS THERESE VOHL</t>
  </si>
  <si>
    <t>ASSOCIATION DES PARALYSES DE FRANCE</t>
  </si>
  <si>
    <t>MAS LE BEL AUBEPIN</t>
  </si>
  <si>
    <t>ASSOCIATION PERRINE THULARD</t>
  </si>
  <si>
    <t>MAS BLANCHE NEIGE</t>
  </si>
  <si>
    <t>POLE MEDICO-SOCIAL BAIS/HAMBERS</t>
  </si>
  <si>
    <t>MAS ROBIN DES BOIS</t>
  </si>
  <si>
    <t>MAS HANDI VILLAGE</t>
  </si>
  <si>
    <t>AREAMS</t>
  </si>
  <si>
    <t>IME LE PAVILLON</t>
  </si>
  <si>
    <t>ESAT LES ESPACES</t>
  </si>
  <si>
    <t>ESAT LA BELLE OUVRAGE</t>
  </si>
  <si>
    <t>ADGESTI</t>
  </si>
  <si>
    <t>ESAT LE BOIS JOLI</t>
  </si>
  <si>
    <t>SESSAD APIC'S</t>
  </si>
  <si>
    <t>ITEP LES AUBRYS</t>
  </si>
  <si>
    <t>ASSOCIATION LES PETITS PRINCES</t>
  </si>
  <si>
    <t>ASSOCIATION JEUNESSE ET AVENIR</t>
  </si>
  <si>
    <t>EQUIPE MOBILE DE MEDICALISATION</t>
  </si>
  <si>
    <t>SESSAD TRES PRECOCE</t>
  </si>
  <si>
    <t>SESSAD</t>
  </si>
  <si>
    <t>ESAT DU HAUT ANJOU</t>
  </si>
  <si>
    <t>ESAT ARC EN CIEL</t>
  </si>
  <si>
    <t>FAM THERESE VOHL</t>
  </si>
  <si>
    <t>FONDATION OVE</t>
  </si>
  <si>
    <t>CAMSP POLYVALENT DEPARTEMENTAL</t>
  </si>
  <si>
    <t>CAMSP HENRI WALLON</t>
  </si>
  <si>
    <t>FAM DIAPASON</t>
  </si>
  <si>
    <t>GCSMS DIAPASON</t>
  </si>
  <si>
    <t>IME LUCIEN DESMONTS</t>
  </si>
  <si>
    <t>ALPHA</t>
  </si>
  <si>
    <t>CMPP HENRI WALLON</t>
  </si>
  <si>
    <t>ITEP LA TURMELIERE</t>
  </si>
  <si>
    <t>SESSAD LES SABLES</t>
  </si>
  <si>
    <t>APEI SABLE SOLESMES</t>
  </si>
  <si>
    <t>FAM GEORGES GODET</t>
  </si>
  <si>
    <t>GCSMS PHINEAS</t>
  </si>
  <si>
    <t>EPMS LE LITTORAL</t>
  </si>
  <si>
    <t>IEM JEAN YVES GUITTON</t>
  </si>
  <si>
    <t>ESAT JARDIN DES PLANTES</t>
  </si>
  <si>
    <t>ARRIA</t>
  </si>
  <si>
    <t>CAFS ARRIA</t>
  </si>
  <si>
    <t>CASIM ARRIA</t>
  </si>
  <si>
    <t>ASSOCIATION REGIONALE LES CHESNAIES</t>
  </si>
  <si>
    <t>LISEC ITEP ARRIA</t>
  </si>
  <si>
    <t>SESSAD DI-TED ARRIA</t>
  </si>
  <si>
    <t>ASSOCIATION ANNE DE LA GIROUARDIERE</t>
  </si>
  <si>
    <t>ESAT LA REBELLERIE</t>
  </si>
  <si>
    <t>ITEP LES OLIVIERS</t>
  </si>
  <si>
    <t>SESSAD LES OLIVIERS</t>
  </si>
  <si>
    <t>ASSOCIATION SAINTE FAMILLE</t>
  </si>
  <si>
    <t>ESAT SUD LOIRE</t>
  </si>
  <si>
    <t>ESAT LA BREOTIERE</t>
  </si>
  <si>
    <t>FAM GEORGES COULON</t>
  </si>
  <si>
    <t>FONDATION GEORGES COULON</t>
  </si>
  <si>
    <t>ASSOCIATION ROBIDA</t>
  </si>
  <si>
    <t>ESAT VAL DE VAY</t>
  </si>
  <si>
    <t>FAM LES BLEUETS</t>
  </si>
  <si>
    <t>HANDICAP'ANJOU</t>
  </si>
  <si>
    <t>SESSAD TRAIT D'UNION</t>
  </si>
  <si>
    <t>SESSAD SAPFI</t>
  </si>
  <si>
    <t>SAMSAH SAPFI</t>
  </si>
  <si>
    <t>ESAT LES ATELIERS CALAISIENS</t>
  </si>
  <si>
    <t>ESAT SERILLAC PRESTATIONS</t>
  </si>
  <si>
    <t>ESAT ATIS</t>
  </si>
  <si>
    <t>ESAT DU JONCHERAY</t>
  </si>
  <si>
    <t>ASSOCIATION DU JONCHERAY</t>
  </si>
  <si>
    <t>ASEA</t>
  </si>
  <si>
    <t>IME ALEXIS RICORDEAU</t>
  </si>
  <si>
    <t>INSTITUT MONTECLAIR</t>
  </si>
  <si>
    <t>ITEP PRO LE JALLU</t>
  </si>
  <si>
    <t>SAMSAH ARCEAU ANJOU</t>
  </si>
  <si>
    <t>SESSAD LES PITCHOUNS</t>
  </si>
  <si>
    <t>IME BORDAGE FONTAINE</t>
  </si>
  <si>
    <t>IME CHAMPFLEURY</t>
  </si>
  <si>
    <t>IME CHANTEMERLE</t>
  </si>
  <si>
    <t>IME CLAIRVAL</t>
  </si>
  <si>
    <t>IME EUROPE</t>
  </si>
  <si>
    <t>SESSAD BAGNEUX</t>
  </si>
  <si>
    <t>UEROS ARCEAU ANJOU</t>
  </si>
  <si>
    <t>N° FINESS Géo.</t>
  </si>
  <si>
    <t>Nom ESMS</t>
  </si>
  <si>
    <t>AAHAHA</t>
  </si>
  <si>
    <t>AAPAI</t>
  </si>
  <si>
    <t>ADAPEI - ARIA DE VENDEE</t>
  </si>
  <si>
    <t>ADAPEI 49</t>
  </si>
  <si>
    <t>ADAPEI 53</t>
  </si>
  <si>
    <t>ADAPEI DE LA SARTHE</t>
  </si>
  <si>
    <t>ADIMC</t>
  </si>
  <si>
    <t>ALAHMI</t>
  </si>
  <si>
    <t>ANAIS - ALENCON</t>
  </si>
  <si>
    <t>APAHRC</t>
  </si>
  <si>
    <t>APAJH SARTHE MAYENNE</t>
  </si>
  <si>
    <t>APEI LES PAPILLONS BLANCS OUEST 44</t>
  </si>
  <si>
    <t>APEI NORD MAYENNE</t>
  </si>
  <si>
    <t>ASS. FRANKLIN - ESVIERE</t>
  </si>
  <si>
    <t>CENTRE DE SANTE MENTALE ANGEVIN</t>
  </si>
  <si>
    <t>CENTRE ETUDE PEDIATRIE APPLIQUEE</t>
  </si>
  <si>
    <t>CENTRE HOSPITALIER DE ST CALAIS</t>
  </si>
  <si>
    <t>CENTRE HOSPITALIER GEORGES MAZURELLE</t>
  </si>
  <si>
    <t>CENTRE HOSPITALIER LA FERTE BERNARD</t>
  </si>
  <si>
    <t>CENTRE MEDICO SOCIAL BASILE MOREAU</t>
  </si>
  <si>
    <t>CHU DE NANTES</t>
  </si>
  <si>
    <t>CROIX ROUGE FRANÇAISE</t>
  </si>
  <si>
    <t>EP DE SANTE MENTALE DE LA SARTHE</t>
  </si>
  <si>
    <t>EPMS ESAT FOYERS LA SOUBRETIERE</t>
  </si>
  <si>
    <t>EPSMS DU PAYS DE CHALLANS</t>
  </si>
  <si>
    <t>EPSMS LA FILOUSIERE</t>
  </si>
  <si>
    <t>ESPACES</t>
  </si>
  <si>
    <t>FONDATION PERCE NEIGE</t>
  </si>
  <si>
    <t>FONDATION SAINT JEAN DE DIEU</t>
  </si>
  <si>
    <t>FOYER DE LA MADELEINE</t>
  </si>
  <si>
    <t>FOYER DE VIE HAUTS DE SEVRE</t>
  </si>
  <si>
    <t>GP PUB HOSP MEDSOC COLLINES VENDEENNES</t>
  </si>
  <si>
    <t>HOPITAL INTERCOMMUNAL SEVRE ET LOIRE</t>
  </si>
  <si>
    <t>IME L'ESTUAIRE</t>
  </si>
  <si>
    <t>INSTITUT DEPARTEMENTAL PERSAGOTIERE</t>
  </si>
  <si>
    <t>IPHV LES HAUTS THEBAUDIERES</t>
  </si>
  <si>
    <t>LIGUE ADAPT DIMINUE PHYSIQUE TRAVAIL</t>
  </si>
  <si>
    <t>MAS FRAICHE PASQUIER</t>
  </si>
  <si>
    <t>POLE SANTE SARTHE ET LOIR</t>
  </si>
  <si>
    <t>PSY'ACTIV</t>
  </si>
  <si>
    <t>RESIDENCE LA MADELEINE</t>
  </si>
  <si>
    <t>SESAME AUTISME 44 ASITP</t>
  </si>
  <si>
    <t>THETIS OEUVRE ENFANTS ATLANTIQUE</t>
  </si>
  <si>
    <t>UGECAM BRETAGNE ET PAYS DE LA LOIRE</t>
  </si>
  <si>
    <t>VIE A DOMICILE</t>
  </si>
  <si>
    <t>Raison_Sociale</t>
  </si>
  <si>
    <t>SESSAD LA GOUPILLAIS</t>
  </si>
  <si>
    <t>SESSAD LES BARBUSSIÈRES</t>
  </si>
  <si>
    <t>SESSAD APIC'S 44</t>
  </si>
  <si>
    <t>IME ST GEREON</t>
  </si>
  <si>
    <t>IME LA GOUPILLAIS</t>
  </si>
  <si>
    <t>IME LES PERRIÈRES</t>
  </si>
  <si>
    <t>IME AR MOR</t>
  </si>
  <si>
    <t>IME LES BARBUSSIERES</t>
  </si>
  <si>
    <t>IME LES DORICES</t>
  </si>
  <si>
    <t>CAFS IME ST GEREON</t>
  </si>
  <si>
    <t>CAFS IME LES PERRIÈRES</t>
  </si>
  <si>
    <t>CAFS POLE NANTAIS</t>
  </si>
  <si>
    <t>MAS SUD LOIRE - L'EPEAU</t>
  </si>
  <si>
    <t>FAM LES LUCINES</t>
  </si>
  <si>
    <t>SSEFIS SAFEP LA PERSAGOTIERE</t>
  </si>
  <si>
    <t>INSTITUT LA PERSAGOTIERE</t>
  </si>
  <si>
    <t>SAFEP SAAAIS LES HTS THEBAUDIERES</t>
  </si>
  <si>
    <t>CAMSP LES HAUTS THEBAUDIERES</t>
  </si>
  <si>
    <t>SAMSAH LES HAUTS THEBAUDIERES</t>
  </si>
  <si>
    <t>MAS CHS G MAZURELLE</t>
  </si>
  <si>
    <t>FAM LA GIROUARDIERE</t>
  </si>
  <si>
    <t>FAM LE POINT DU JOUR</t>
  </si>
  <si>
    <t>FAM DE TRESSE</t>
  </si>
  <si>
    <t>IMEP LES SABLES</t>
  </si>
  <si>
    <t>MAS ESPACES</t>
  </si>
  <si>
    <t>MAS DE L'OUDON</t>
  </si>
  <si>
    <t>SESSAD ADAPEI 49</t>
  </si>
  <si>
    <t>SESSAD APIC'S 49</t>
  </si>
  <si>
    <t>IME LA RIVIERE SAUVAGE</t>
  </si>
  <si>
    <t>SAMSAH ADAPEI 49 ANGERS</t>
  </si>
  <si>
    <t>FAM LA LONGUE CHAUVIERE</t>
  </si>
  <si>
    <t>MAS MADELEINE ROCHAS</t>
  </si>
  <si>
    <t>FAM MADELEINE ROCHAS</t>
  </si>
  <si>
    <t>finess juridique</t>
  </si>
  <si>
    <t>ASSOCIATION DU CENRO</t>
  </si>
  <si>
    <t>IME CENRO</t>
  </si>
  <si>
    <t>CAFS DU CENRO</t>
  </si>
  <si>
    <t>SESSAD DU CENRO</t>
  </si>
  <si>
    <t>ASSOCIATION HENRI WALLON</t>
  </si>
  <si>
    <t>CAMSP CENTRE HOSPITALIER DE NANTES</t>
  </si>
  <si>
    <t>SESSAD JEUNESSE ET AVENIR</t>
  </si>
  <si>
    <t>IME JEUNESSE ET AVENIR</t>
  </si>
  <si>
    <t>ESAT JEUNESSE ET AVENIR</t>
  </si>
  <si>
    <t>CAFS JEUNESSE ET AVENIR</t>
  </si>
  <si>
    <t>ITEP KER RIVAUD</t>
  </si>
  <si>
    <t>IME GUENOUVRY</t>
  </si>
  <si>
    <t>ITEP AZUR TREPIED</t>
  </si>
  <si>
    <t>IME MARIE MOREAU</t>
  </si>
  <si>
    <t>ESAT MARIE MOREAU</t>
  </si>
  <si>
    <t>ITEP LES PERRINES</t>
  </si>
  <si>
    <t>ITEP LE CARDO</t>
  </si>
  <si>
    <t>SESSAD ITEP LE CARDO</t>
  </si>
  <si>
    <t>IME HORS LES MURS</t>
  </si>
  <si>
    <t>CPO/CRP LES HAUTS THEBAUDIERES</t>
  </si>
  <si>
    <t>CAMSP ANTENNE LES HAUTS THEBAUDIERES</t>
  </si>
  <si>
    <t>ESAT LA SOUBRETIÈRE</t>
  </si>
  <si>
    <t>MAS OPALINE</t>
  </si>
  <si>
    <t>FAM TOPAZE</t>
  </si>
  <si>
    <t>ETABLISSEMENT PUBLIC SOCIAL LEJEUNE</t>
  </si>
  <si>
    <t>FAM LEJEUNE</t>
  </si>
  <si>
    <t>ETAB PUBLIC DEP AUTONOME LA VERTONNE</t>
  </si>
  <si>
    <t>ESAT DE LA VERTONNE</t>
  </si>
  <si>
    <t>IME LA BAUCHE DE ROUET</t>
  </si>
  <si>
    <t>IME CHANZY</t>
  </si>
  <si>
    <t>ITEP PAYS DE RETZ</t>
  </si>
  <si>
    <t>FAM LE HAMEAU</t>
  </si>
  <si>
    <t>FAM LA MADELEINE</t>
  </si>
  <si>
    <t>IME LE TILLAY</t>
  </si>
  <si>
    <t>ESAT ATELIERS DE LA CHOLIÈRE</t>
  </si>
  <si>
    <t>ESAT DE LEGE</t>
  </si>
  <si>
    <t>ESAT HORTICAT</t>
  </si>
  <si>
    <t>ESAT NANT'EST</t>
  </si>
  <si>
    <t>ESAT PASSERELLE POUR L'EMPLOI</t>
  </si>
  <si>
    <t>ESAT CATOUEST</t>
  </si>
  <si>
    <t>SESSAD POLE NANTAIS - ANTENNE NORD</t>
  </si>
  <si>
    <t>SESSAD POLE NANTAIS - ANTENNE SUD</t>
  </si>
  <si>
    <t>MAS SUD LOIRE - LES LOGES</t>
  </si>
  <si>
    <t>IME ILE DE NANTES</t>
  </si>
  <si>
    <t>INTERNAT POLE NANTAIS</t>
  </si>
  <si>
    <t>ESAT OCEANIS</t>
  </si>
  <si>
    <t>ESAT DU BRIVET</t>
  </si>
  <si>
    <t>ESAT DE SAILLE</t>
  </si>
  <si>
    <t>ESAT DU PAYS D'ANCENIS</t>
  </si>
  <si>
    <t>ESAT LES ATELIERS DE LA MEE</t>
  </si>
  <si>
    <t>ESAT ATELIERS DU LANDAS</t>
  </si>
  <si>
    <t>ESAT LES IRIS</t>
  </si>
  <si>
    <t>ESAT ATELIERS BLINOIS</t>
  </si>
  <si>
    <t>SESSAD LES PERRIÈRES</t>
  </si>
  <si>
    <t>ESAT BIOCAT</t>
  </si>
  <si>
    <t>FAM LA HAUTE MITRIE</t>
  </si>
  <si>
    <t>FAM LA MAISON BLANCHE</t>
  </si>
  <si>
    <t>FAM LA CHARMELIÈRE</t>
  </si>
  <si>
    <t>UE MATERNELLE AUTISME</t>
  </si>
  <si>
    <t>EQUIPE MOBILE DE MÉDICALISATION</t>
  </si>
  <si>
    <t>SESSAD LUCIEN DESMONTS</t>
  </si>
  <si>
    <t>FAM BEAUSEJOUR</t>
  </si>
  <si>
    <t>IME VAL LORIE</t>
  </si>
  <si>
    <t>IEM LA DURANTIERE</t>
  </si>
  <si>
    <t>IME CLEMENCE ROYER</t>
  </si>
  <si>
    <t>CMPP DE KERBRUN</t>
  </si>
  <si>
    <t>SESSAD CLEMENCE ROYER</t>
  </si>
  <si>
    <t>SESSAD MOTEUR APAJH44</t>
  </si>
  <si>
    <t>IES-VISUELS LA DURANTIERE</t>
  </si>
  <si>
    <t>SAAAS APAJH44</t>
  </si>
  <si>
    <t>MAS DE LA SEVRE</t>
  </si>
  <si>
    <t>CAFS LA DURANTIERE</t>
  </si>
  <si>
    <t>SAMSAH APAJH</t>
  </si>
  <si>
    <t>SSEFS NAZAIRIEN APAJH44</t>
  </si>
  <si>
    <t>ASSOCIATION L'ETAPE</t>
  </si>
  <si>
    <t>SAMSAH ILE DE NANTES</t>
  </si>
  <si>
    <t>ASSOCIATION OEUVRES DE PEN BRON</t>
  </si>
  <si>
    <t>IME LE VAL DE SEVRE</t>
  </si>
  <si>
    <t>IEM IPEAP L'ESTRAN</t>
  </si>
  <si>
    <t>SESSAD ALEXIS RICORDEAU</t>
  </si>
  <si>
    <t>SESSAD PEN BRON</t>
  </si>
  <si>
    <t>ISSE PATRICK GUILLON VERNE</t>
  </si>
  <si>
    <t>ETAB PUBLIC MEDICO SOCIAL L'EHRETIA</t>
  </si>
  <si>
    <t>FAM RESIDENCE DU MARTRAIS</t>
  </si>
  <si>
    <t>MAS HORIZONS</t>
  </si>
  <si>
    <t>FAM HORIZONS</t>
  </si>
  <si>
    <t>SESSAD L'ESTUAIRE</t>
  </si>
  <si>
    <t>IPEAP PARC DE LA BLORDIERE</t>
  </si>
  <si>
    <t>CAMSP DE KERBRUN</t>
  </si>
  <si>
    <t>SESSAD APAJH 44</t>
  </si>
  <si>
    <t>INTERNAT ANNE DE BRETAGNE</t>
  </si>
  <si>
    <t>IES-AUDITIFS LA DURANTIERE</t>
  </si>
  <si>
    <t>SSEFS NANTAIS APAJH 44</t>
  </si>
  <si>
    <t>SERVICE ACCUEIL LA PASSERELLE</t>
  </si>
  <si>
    <t>SAS HANDICAPS RARES</t>
  </si>
  <si>
    <t>ESAT SERVICES LA TOURNIERE</t>
  </si>
  <si>
    <t>ADMR DES ETABLISSEMENTS ET SERVICES</t>
  </si>
  <si>
    <t>FAM MELAINE</t>
  </si>
  <si>
    <t>ESAT ARTA</t>
  </si>
  <si>
    <t>UEROS</t>
  </si>
  <si>
    <t>ESAT SESAME SERVICES</t>
  </si>
  <si>
    <t>FOYER D'ACCUEIL MEDICALISE SESAME</t>
  </si>
  <si>
    <t>MAS SESAME AUTISME</t>
  </si>
  <si>
    <t>IME PIERRE DE LUNE</t>
  </si>
  <si>
    <t>MAS OCEANE</t>
  </si>
  <si>
    <t>FAM EPMS LE LITTORAL</t>
  </si>
  <si>
    <t>MAS DE L'HÔPITAL SÈVRE ET LOIRE</t>
  </si>
  <si>
    <t>MAS DIAPASON</t>
  </si>
  <si>
    <t>MAS ESPOIR ET VIE</t>
  </si>
  <si>
    <t>CAFS LAMORICIERE</t>
  </si>
  <si>
    <t>SESSAD ST PHILBERT</t>
  </si>
  <si>
    <t>MAS ST JEAN DE DIEU</t>
  </si>
  <si>
    <t>IEM LA GRILLONNAIS</t>
  </si>
  <si>
    <t>IEM LA MARRIERE</t>
  </si>
  <si>
    <t>SESSD ERNEST RENAN</t>
  </si>
  <si>
    <t>SSESSAD APF - ANTENNE NORT SUR ERDRE</t>
  </si>
  <si>
    <t>ASSOCIATION VOIR ENSEMBLE</t>
  </si>
  <si>
    <t>FAM NOTRE DAME DE TERRE NEUVE</t>
  </si>
  <si>
    <t>ASSOCIATION MOISSONS NOUVELLES</t>
  </si>
  <si>
    <t>ITEP LA PAPOTIERE MOISSONS NOUVELLES</t>
  </si>
  <si>
    <t>SESSAD LA PAPOTIERE</t>
  </si>
  <si>
    <t>AGIR ET VAINCRE L'AUTISME</t>
  </si>
  <si>
    <t>ECOLE ABA LES PETITS MALINS</t>
  </si>
  <si>
    <t>ECOLE ABA SITE ST NAZAIRE</t>
  </si>
  <si>
    <t>SESSAD AREAMS</t>
  </si>
  <si>
    <t>ASSOCIATION FRANCAISE MYOPATHIE</t>
  </si>
  <si>
    <t>SAMSAH GATE ARGENT HABITAT SERVICE</t>
  </si>
  <si>
    <t>MAS YOLAINE DE KEPPER</t>
  </si>
  <si>
    <t>CPO/CRP LA TOURMALINE</t>
  </si>
  <si>
    <t>ITEP LAMORICIERE</t>
  </si>
  <si>
    <t>SESSAD JEAN DURET</t>
  </si>
  <si>
    <t>FAM CENTRE ST JEAN DE DIEU</t>
  </si>
  <si>
    <t>IEM LA BUISSONNIERE</t>
  </si>
  <si>
    <t>SESSAD APF</t>
  </si>
  <si>
    <t>SAMSAH POLE ADULTES 44 APF</t>
  </si>
  <si>
    <t>SATVA_E LA CHAPELLE</t>
  </si>
  <si>
    <t>SESSD PLATEFORME RESSOURCES</t>
  </si>
  <si>
    <t>ITEP GESVRES</t>
  </si>
  <si>
    <t>FOYER D'ACCUEIL MEDICALISE BLANC</t>
  </si>
  <si>
    <t>MAS CESAME PORT THIBAULT</t>
  </si>
  <si>
    <t>VRF LA SALAMANDRE - ADULTES</t>
  </si>
  <si>
    <t>VRF LA SALAMANDRE - ENFANTS</t>
  </si>
  <si>
    <t>SAMSAH DU BORD DE LOIRE</t>
  </si>
  <si>
    <t>ESAT MOULIN DU PIN</t>
  </si>
  <si>
    <t>EEAP LA TREMBLAYE</t>
  </si>
  <si>
    <t>SITE MAS LES ROMANS</t>
  </si>
  <si>
    <t>ESAT LA VERZEE</t>
  </si>
  <si>
    <t>ESAT L'ARGERIE</t>
  </si>
  <si>
    <t>SATED IME LES OCEANIDES</t>
  </si>
  <si>
    <t>ITEP LE COLOMBIER</t>
  </si>
  <si>
    <t>IME LE COTEAU</t>
  </si>
  <si>
    <t>MUTUALITÉ FRANÇAISE ANJOU- MAYENNE</t>
  </si>
  <si>
    <t>FAM PASTEL DE LOIRE</t>
  </si>
  <si>
    <t>ESAT BORD DE LOIRE</t>
  </si>
  <si>
    <t>ASSOCIATION LE SENEVE ESAT</t>
  </si>
  <si>
    <t>ESAT LE SENEVE</t>
  </si>
  <si>
    <t>L ARCHE EN ANJOU</t>
  </si>
  <si>
    <t>CMPP ASEA</t>
  </si>
  <si>
    <t>CAMSP ASEA</t>
  </si>
  <si>
    <t>SESSAD LE COLOMBIER</t>
  </si>
  <si>
    <t>CENTRE CHARLOTTE BLOUIN</t>
  </si>
  <si>
    <t>MAS PASTEL DE LOIRE</t>
  </si>
  <si>
    <t>ESAT ARCEAU ANJOU</t>
  </si>
  <si>
    <t>IEM LA GUIBERDIERE</t>
  </si>
  <si>
    <t>EEAP LE BOCAGE</t>
  </si>
  <si>
    <t>FAM LA PINSONNERIE</t>
  </si>
  <si>
    <t>CAFS LA GUIBERDIERE</t>
  </si>
  <si>
    <t>SESSAD MARGUERITE YOURCENAR</t>
  </si>
  <si>
    <t>IEM LES TOURNESOLS</t>
  </si>
  <si>
    <t>ESAT ADAPEI 49</t>
  </si>
  <si>
    <t>ESAT ST LAMBERT DES LEVEES</t>
  </si>
  <si>
    <t>SSEFIS-SAFEP CHARLOTTE BLOUIN</t>
  </si>
  <si>
    <t>SAAAIS-SAFEP MONTECLAIR</t>
  </si>
  <si>
    <t>IME LA CHALOUERE</t>
  </si>
  <si>
    <t>IME MONPLAISIR</t>
  </si>
  <si>
    <t>IME PAUL GAUGUIN</t>
  </si>
  <si>
    <t>SESSAD LA CHALOUERE</t>
  </si>
  <si>
    <t>FAM LA MESANGERIE</t>
  </si>
  <si>
    <t>SESSAD LA PASSERELLE</t>
  </si>
  <si>
    <t>UEM ECOLE MONTESQUIEU</t>
  </si>
  <si>
    <t>SESSAD DI-TC L'ARBORETUM</t>
  </si>
  <si>
    <t>FAM LA FAUVETTERIE</t>
  </si>
  <si>
    <t>IME VALLEE DE L'ANJOU</t>
  </si>
  <si>
    <t>IME LA MONNERAIE</t>
  </si>
  <si>
    <t>MAS LE GIBERTIN</t>
  </si>
  <si>
    <t>SESSAD VALLEE DE L'ANJOU</t>
  </si>
  <si>
    <t>FAM LES LOGIS DU BOIS</t>
  </si>
  <si>
    <t>MAS LA ROGERIE</t>
  </si>
  <si>
    <t>ASS AIDE HANDICAPES MENTAUX ADULTES</t>
  </si>
  <si>
    <t>ESAT GERMAINE CHERBONNIER</t>
  </si>
  <si>
    <t>SAMSAH VIE A DOMICILE</t>
  </si>
  <si>
    <t>IME LE GRACALOU</t>
  </si>
  <si>
    <t>ITEP LES CHESNAIES</t>
  </si>
  <si>
    <t>SESSAD DI TC  LES CHESNAIES</t>
  </si>
  <si>
    <t>CAFS THERAPEUTIQUE EXPERIMENTAL</t>
  </si>
  <si>
    <t>SESSAD LE GRACALOU</t>
  </si>
  <si>
    <t>ASS AIDE PSYCHOPED SCOLAIRES</t>
  </si>
  <si>
    <t>ITEP LA TREMBLAIE</t>
  </si>
  <si>
    <t>SESSAD LA TREMBLAIE</t>
  </si>
  <si>
    <t>ESAT LES 3 PAROISSES</t>
  </si>
  <si>
    <t>ESAT LA GIBAUDIERE</t>
  </si>
  <si>
    <t>ASS.ANGEVINE"CANCER ET ENFANCE"</t>
  </si>
  <si>
    <t>CMPP SASAD CANCER ET ENFANCE</t>
  </si>
  <si>
    <t>SESSD 16-25 ANS</t>
  </si>
  <si>
    <t>IME PERRAY JOUANNET</t>
  </si>
  <si>
    <t>ASS LA RESIDENCE SOCIALE</t>
  </si>
  <si>
    <t>IME DE BRIANCON</t>
  </si>
  <si>
    <t>SESSAD DE BRIANCON</t>
  </si>
  <si>
    <t>FAM LE GIBERTIN</t>
  </si>
  <si>
    <t>ITEP LE THOUET</t>
  </si>
  <si>
    <t>SESSAD SAUMUROIS</t>
  </si>
  <si>
    <t>ESAT LES BEJONNIERES</t>
  </si>
  <si>
    <t>ESAT GERARD CORRE</t>
  </si>
  <si>
    <t>SECTION ANNEXE D'ESAT LE GINKGO</t>
  </si>
  <si>
    <t>SECTION ANNEXE D'ESAT LES 3 PAROISSES</t>
  </si>
  <si>
    <t>SESSD APF</t>
  </si>
  <si>
    <t>ESAT APF LE CORMIER</t>
  </si>
  <si>
    <t>SESSAD CRF</t>
  </si>
  <si>
    <t>MAS DE BRIANÇON</t>
  </si>
  <si>
    <t>FAM PERCE NEIGE</t>
  </si>
  <si>
    <t>ITEP FELIX JEAN MARCHAIS</t>
  </si>
  <si>
    <t>ITEP LA PERDRIERE</t>
  </si>
  <si>
    <t>GEIST 21</t>
  </si>
  <si>
    <t>SAMSAH PSY SAPHIR</t>
  </si>
  <si>
    <t>SAMSAH DI DJINH</t>
  </si>
  <si>
    <t>SESSAD GEIST</t>
  </si>
  <si>
    <t>SESSAD DJINH</t>
  </si>
  <si>
    <t>SESSAD LA SENELLE</t>
  </si>
  <si>
    <t>FAM LA FILOUSIERE</t>
  </si>
  <si>
    <t>ESAT LA MADELEINE</t>
  </si>
  <si>
    <t>SESSAD LA MAILLARDIERE</t>
  </si>
  <si>
    <t>SATED LES CERISIERS</t>
  </si>
  <si>
    <t>SESSAD LAVAL</t>
  </si>
  <si>
    <t>IME LA MAILLARDIERE</t>
  </si>
  <si>
    <t>FAM L'ETAPE</t>
  </si>
  <si>
    <t>SESSAD LEON DOUDARD</t>
  </si>
  <si>
    <t>ESAT ATELIERS DE LA COLMONT</t>
  </si>
  <si>
    <t>CAFS IME LEON DOUDARD</t>
  </si>
  <si>
    <t>SSEFIS APAJH</t>
  </si>
  <si>
    <t>SECTION D'EDUCATION MOTRICE APF</t>
  </si>
  <si>
    <t>FAM THERESE VOHL SITE DU TERTRE</t>
  </si>
  <si>
    <t>IEAP INSTITUT CALYPSO</t>
  </si>
  <si>
    <t>SERDAA</t>
  </si>
  <si>
    <t>SESSAD LA PERDRIERE</t>
  </si>
  <si>
    <t>ASSOC. CAT LA BELLE OUVRAGE</t>
  </si>
  <si>
    <t>ASSOCIATION GEMS 53</t>
  </si>
  <si>
    <t>ESAT IONESCO</t>
  </si>
  <si>
    <t>ESAT LANCHENEIL</t>
  </si>
  <si>
    <t>MAS L'OCEANE</t>
  </si>
  <si>
    <t>SAMSAH LA FILOUSIERE</t>
  </si>
  <si>
    <t>IME JB MESSAGER</t>
  </si>
  <si>
    <t>CAFS IME JB MESSAGER</t>
  </si>
  <si>
    <t>UEM AUTISME</t>
  </si>
  <si>
    <t>ESAT LE GENETEIL</t>
  </si>
  <si>
    <t>ASS AIDE ACCUEIL AMITIE LE PONCEAU</t>
  </si>
  <si>
    <t>ESAT LE PONCEAU</t>
  </si>
  <si>
    <t>ESAT ROBIDA</t>
  </si>
  <si>
    <t>IME LEON DOUDARD</t>
  </si>
  <si>
    <t>ASSOCIATION SAUVEGARDE MAYENNE SARTHE</t>
  </si>
  <si>
    <t>CMPP SAUVEGARDE 53-72</t>
  </si>
  <si>
    <t>CAMSP APF</t>
  </si>
  <si>
    <t>MAS THERESE VOHL SITE DU TERTRE</t>
  </si>
  <si>
    <t>FAM ST AMADOUR</t>
  </si>
  <si>
    <t>MAS ST AMADOUR</t>
  </si>
  <si>
    <t>ESAT ML ET R BURON</t>
  </si>
  <si>
    <t>CPO/CRP</t>
  </si>
  <si>
    <t>CPO/CRP ARPS</t>
  </si>
  <si>
    <t>CMPP ESPACE FRANCOISE DOLTO</t>
  </si>
  <si>
    <t>SESSAD L'ENVOL - ECOMMOY</t>
  </si>
  <si>
    <t>IME EPIONE</t>
  </si>
  <si>
    <t>SESSAD L'ENVOL LE MANS</t>
  </si>
  <si>
    <t>SESSAD L'ENVOL - MAMERS</t>
  </si>
  <si>
    <t>ESAT ANAIS</t>
  </si>
  <si>
    <t>MAS LES AMARYLLIS</t>
  </si>
  <si>
    <t>MAS DE L'HUISNE</t>
  </si>
  <si>
    <t>FAM JEAN DE LA FONTAINE</t>
  </si>
  <si>
    <t>ASS GESTION POLE REGIONAL DU HANDICAP</t>
  </si>
  <si>
    <t>ASSOCIATION ACADEA</t>
  </si>
  <si>
    <t>FAM MAISON DE L'ELAN</t>
  </si>
  <si>
    <t>MAS LESIOUR SOULBIEU</t>
  </si>
  <si>
    <t>CAFS ITEP LES AUBRYS</t>
  </si>
  <si>
    <t>SESSAD SITEP LES AUBRYS</t>
  </si>
  <si>
    <t>ASSOCIATION D'HYGIENE SOCIALE SARTHE</t>
  </si>
  <si>
    <t>FAM LE VERGER</t>
  </si>
  <si>
    <t>IME L HARDANGERE</t>
  </si>
  <si>
    <t>SAAAIS LE FIL D'ARIANE</t>
  </si>
  <si>
    <t>SSEFIS LONGUEUR D'ONDES</t>
  </si>
  <si>
    <t>SESSAD TSL. SIRIUS</t>
  </si>
  <si>
    <t>MAS LES COLLINES</t>
  </si>
  <si>
    <t>SESSAD L'ENVOL - LE LUART</t>
  </si>
  <si>
    <t>SESSAD DE L'ARCHE</t>
  </si>
  <si>
    <t>SAMSAH DE L'ARCHE</t>
  </si>
  <si>
    <t>MAS CENTRE BASILE MOREAU</t>
  </si>
  <si>
    <t>FAM LESIOUR SOULBIEU</t>
  </si>
  <si>
    <t>SESSAD LES AUBRYS</t>
  </si>
  <si>
    <t>IME L'ASTROLABE</t>
  </si>
  <si>
    <t>SESSAD L'OISEAU BLEU</t>
  </si>
  <si>
    <t>ESAT HORS LES MURS</t>
  </si>
  <si>
    <t>SESSAD L'ENVOL</t>
  </si>
  <si>
    <t>SAMSAH LA CROIX D'OR</t>
  </si>
  <si>
    <t>MAS LES MELISSES</t>
  </si>
  <si>
    <t>MAT JARDIN D'ALEXANDRE</t>
  </si>
  <si>
    <t>FAM JARDIN D'ALEXANDRE</t>
  </si>
  <si>
    <t>CAMSP DEPARTEMENTAL</t>
  </si>
  <si>
    <t>ASS GEIST 21 SARTHE</t>
  </si>
  <si>
    <t>SESSAD LA COURTE ECHELLE</t>
  </si>
  <si>
    <t>ESAT LES CHENES</t>
  </si>
  <si>
    <t>SESSAD PAYS D'OZ</t>
  </si>
  <si>
    <t>ESAT CATMANOR</t>
  </si>
  <si>
    <t>SAMSAH ADGESTI</t>
  </si>
  <si>
    <t>IME VAUROUZE</t>
  </si>
  <si>
    <t>ESAT DU CIRCUIT</t>
  </si>
  <si>
    <t>SESSAD DU VAL DE LOIR</t>
  </si>
  <si>
    <t>SESSAD  TRIMARAN L ESCALE</t>
  </si>
  <si>
    <t>ESAT LE GUETTE MIDI</t>
  </si>
  <si>
    <t>SECTION POLYHANDICAPES L MALECOT</t>
  </si>
  <si>
    <t>ESAT VAL DE LOIR</t>
  </si>
  <si>
    <t>SSAD TOURNESOL</t>
  </si>
  <si>
    <t>FAM LES CEDRES</t>
  </si>
  <si>
    <t>FAM LES HAUTES FONTAINES</t>
  </si>
  <si>
    <t>FAM LE TEMPS DE VIVRE</t>
  </si>
  <si>
    <t>ASSOC DES CITES DU SECOURS CATHOLIQUE</t>
  </si>
  <si>
    <t>ESAT DE PESCHERAY</t>
  </si>
  <si>
    <t>CPO/CRP L'ADAPT</t>
  </si>
  <si>
    <t>ITEP L'ALOUETTE</t>
  </si>
  <si>
    <t>ASSO A.L.E.F.P.A.</t>
  </si>
  <si>
    <t>SESSAD GALILEE</t>
  </si>
  <si>
    <t>FAM OVE</t>
  </si>
  <si>
    <t>IME SAINT-MICHEL</t>
  </si>
  <si>
    <t>IME LEONCE MALECOT</t>
  </si>
  <si>
    <t>IME DU VAL DE LOIR</t>
  </si>
  <si>
    <t>ESAT LES OISEAUX</t>
  </si>
  <si>
    <t>ESAT LE TERTRE</t>
  </si>
  <si>
    <t>ESAT LES PRAIRIES</t>
  </si>
  <si>
    <t>MAS HELIOPE</t>
  </si>
  <si>
    <t>CAFS SARTHE ET LOIR</t>
  </si>
  <si>
    <t>FAM LES HETRES</t>
  </si>
  <si>
    <t>SAMSAH LE MANS METROPOLE</t>
  </si>
  <si>
    <t>UEM CHAMP MANON</t>
  </si>
  <si>
    <t>SESSAD ITEP LES PIROGUES</t>
  </si>
  <si>
    <t>CMPP ANDRES PONTOIZEAU</t>
  </si>
  <si>
    <t>CENTRE HOSPITALIER COTE DE LUMIÈRE</t>
  </si>
  <si>
    <t>MAS CHS MAZURELLE SITE LONGEVILLE</t>
  </si>
  <si>
    <t>ASSOCIATION HANDI ESPOIR</t>
  </si>
  <si>
    <t>FAM LE VAL FLEURI</t>
  </si>
  <si>
    <t>SAMSAH EPSMS DU PAYS DE CHALLANS</t>
  </si>
  <si>
    <t>IME LES TERRES NOIRES</t>
  </si>
  <si>
    <t>ESAT ADAPEI ARIA</t>
  </si>
  <si>
    <t>IME LE HAMEAU DU GRAND FIEF</t>
  </si>
  <si>
    <t>IME LA GUERINIERE</t>
  </si>
  <si>
    <t>IME LE MOULIN SAINT JACQUES</t>
  </si>
  <si>
    <t>SECTION POLYHANDICAP LES TERRES NOIRES</t>
  </si>
  <si>
    <t>IME LES TROIS MOULINS</t>
  </si>
  <si>
    <t>FAM LA LARGERE</t>
  </si>
  <si>
    <t>SECTION  AUTISTES IME TERRES NOIRES</t>
  </si>
  <si>
    <t>SECTION AUTISTES MOULIN ST JACQUES</t>
  </si>
  <si>
    <t>SECTION AUTISTES HAMEAU DU GRAND FIEF</t>
  </si>
  <si>
    <t>SECTION POUR AUTISTES LE GUE BRAUD</t>
  </si>
  <si>
    <t>ESAT PARC POLARIS NORD</t>
  </si>
  <si>
    <t>ESAT LA LARGERE</t>
  </si>
  <si>
    <t>FAM MAPHAV</t>
  </si>
  <si>
    <t>SESSAD LES FRIMOUSSES</t>
  </si>
  <si>
    <t>SESSAD APIC'S 85</t>
  </si>
  <si>
    <t>ESAT CHAMPROVENT</t>
  </si>
  <si>
    <t>FAM LA CLAIRIERE</t>
  </si>
  <si>
    <t>SAMSAH LE VAL FLEURI</t>
  </si>
  <si>
    <t>FAM LE BOIS TISSANDEAU</t>
  </si>
  <si>
    <t>FAM HENRY MURAIL</t>
  </si>
  <si>
    <t>ESAT ZI LE PLANTY</t>
  </si>
  <si>
    <t>ESAT ACTI SUD</t>
  </si>
  <si>
    <t>IME LE GUÉ BRAUD</t>
  </si>
  <si>
    <t>ESAT ZI DE LA GUERCHE</t>
  </si>
  <si>
    <t>SECTION POLYHAND LE MOULIN ST JACQUES</t>
  </si>
  <si>
    <t>SECTION POLYHANDICAPES LE GUE BRAUD</t>
  </si>
  <si>
    <t>SECTION POLYHAND LE HAMEAU DU GRD FIEF</t>
  </si>
  <si>
    <t>FAM HAUTE ROCHE</t>
  </si>
  <si>
    <t>SECTION AUTISTES IME LA GUERINIERE</t>
  </si>
  <si>
    <t>FAM LA BRACHETIÈRE</t>
  </si>
  <si>
    <t>ESAT ANNEXE LA ROCHE/YON</t>
  </si>
  <si>
    <t>IME LE MARAIS</t>
  </si>
  <si>
    <t>FAM HAMEAU DES VIGNES</t>
  </si>
  <si>
    <t>SESSAD LA GUERINIERE</t>
  </si>
  <si>
    <t>SESSAD LE PETIT POUCET</t>
  </si>
  <si>
    <t>SESSAD LA MAISONNETTE</t>
  </si>
  <si>
    <t>ESAT LES BAZINIERES</t>
  </si>
  <si>
    <t>SAAAIS ARIA 85</t>
  </si>
  <si>
    <t>MAS LES CHANTERELLES</t>
  </si>
  <si>
    <t>SSESD ARIA 85</t>
  </si>
  <si>
    <t>SSEFIS ARIA 85</t>
  </si>
  <si>
    <t>IEM DE JOUR</t>
  </si>
  <si>
    <t>DISPOSITIF MULTISERVICES HAND PSYCHIQU</t>
  </si>
  <si>
    <t>SESSAD DATE</t>
  </si>
  <si>
    <t>ESAT HANDIPEPITE</t>
  </si>
  <si>
    <t>FAM LA GUYONNIERE</t>
  </si>
  <si>
    <t>ASSOCIATION LES QUATRE VENTS</t>
  </si>
  <si>
    <t>ESAT LES 4 VENTS</t>
  </si>
  <si>
    <t>FAM LA MAISON DU VENT D'ESPOIR</t>
  </si>
  <si>
    <t>SAMSAH AREAMS</t>
  </si>
  <si>
    <t>MAS LA FRAGONNETTE</t>
  </si>
  <si>
    <t>ESAT UTIL'85</t>
  </si>
  <si>
    <t>MAS LA MADELEINE</t>
  </si>
  <si>
    <t>FAM LES HAUTS DE SEVRE</t>
  </si>
  <si>
    <t>ASSOC.VEND./DEFICIENCES/ENFANCE</t>
  </si>
  <si>
    <t>CAMSP POLYVALENT</t>
  </si>
  <si>
    <t>FAM MAISON PERCE NEIGE</t>
  </si>
  <si>
    <t>ASS FAM AIDE AUX ENF INF MENT</t>
  </si>
  <si>
    <t>ESAT LE BOCAGE</t>
  </si>
  <si>
    <t>SESSAD DI-TED</t>
  </si>
  <si>
    <t>SESSAD DATE LES GONDOLIERS</t>
  </si>
  <si>
    <t>ASSOCIATION ORGHANDI</t>
  </si>
  <si>
    <t>FAM ORGHANDI</t>
  </si>
  <si>
    <t>SAMSAH ORGHANDI</t>
  </si>
  <si>
    <t>IME VAL D'YON</t>
  </si>
  <si>
    <t>SESSAD JEUNES ADULTES</t>
  </si>
  <si>
    <t>MAS LES HAUTS DE SEVRE</t>
  </si>
  <si>
    <t>FAM RES COMTESSE D'ASNIERES</t>
  </si>
  <si>
    <t>FAM RES CATHERINE DE THOUARS</t>
  </si>
  <si>
    <t>FAM LE BOCAGE</t>
  </si>
  <si>
    <t>Adresse Siège</t>
  </si>
  <si>
    <t>Adresse ESMS</t>
  </si>
  <si>
    <t>2 R RENE DUNAN  44262 NANTES CEDEX 2</t>
  </si>
  <si>
    <t>40 R DES FRAICHES  44120 VERTOU</t>
  </si>
  <si>
    <t>63 R MARZELLE DE GRILLAUD BP 18502 44185 NANTES CEDEX 4</t>
  </si>
  <si>
    <t>1 PL ALEXIS RICORDEAU  44093 NANTES CEDEX 1</t>
  </si>
  <si>
    <t>15 RTE DE LA CROIX MORIAU LE CLOS MORIO 44350 GUERANDE</t>
  </si>
  <si>
    <t>21 AV DE LATTRE TASSIGNY  44500 LA BAULE</t>
  </si>
  <si>
    <t xml:space="preserve">  LENIPHEN  44350 GUERANDE</t>
  </si>
  <si>
    <t>17 R STE ANNE GUENOUVRY 44290 GUEMENE PENFAO</t>
  </si>
  <si>
    <t>30 RTE DE KER RIVAUD  44500 LA BAULE</t>
  </si>
  <si>
    <t>17 R STE ANNE  44290 GUEMENE PENFAO</t>
  </si>
  <si>
    <t>9 R DES COTEAUX DES ETANGS  44350 GUERANDE</t>
  </si>
  <si>
    <t>11 R D ABBARETZ  44170 NOZAY</t>
  </si>
  <si>
    <t>40 R DU DR SCHWEITZER BP 107 44612 ST NAZAIRE CEDEX</t>
  </si>
  <si>
    <t>40 R DU DR SCHWEITZER  44612 ST NAZAIRE CEDEX</t>
  </si>
  <si>
    <t>40 R DU DR ALBERT SCHWEITZER BP 107 44612 ST NAZAIRE CEDEX</t>
  </si>
  <si>
    <t>41 BD AUGUSTE PENEAU  44300 NANTES</t>
  </si>
  <si>
    <t>5 R DU PRINTEMPS  44700 ORVAULT</t>
  </si>
  <si>
    <t xml:space="preserve">   ZI LE PAN LOUP 44220 COUERON</t>
  </si>
  <si>
    <t>13 BD DES POILUS  44300 NANTES</t>
  </si>
  <si>
    <t>10 R LEO LAGRANGE  44240 LA CHAPELLE SUR ERDRE</t>
  </si>
  <si>
    <t xml:space="preserve"> RTE DE ST FIACRE BP 2229 44120 VERTOU</t>
  </si>
  <si>
    <t>22 R ROBERT DOUINEAU  44230 ST SEBASTIEN SUR LOIRE</t>
  </si>
  <si>
    <t xml:space="preserve"> R DU CRIALE BP 2229 44122 VERTOU CEDEX</t>
  </si>
  <si>
    <t xml:space="preserve">    44110 CHATEAUBRIANT</t>
  </si>
  <si>
    <t>3 ALL DES MARRONNIERS  44260 SAVENAY</t>
  </si>
  <si>
    <t>1 R DE L'AUMONERIE  44260 SAVENAY</t>
  </si>
  <si>
    <t xml:space="preserve"> R VICTOR HUGO  44260 SAVENAY</t>
  </si>
  <si>
    <t xml:space="preserve"> RTE DE ST ETIENNE DE MONTLUC BP 35 44220 COUERON</t>
  </si>
  <si>
    <t>4  LE CERCLAIS  44650 CORCOUE SUR LOGNE</t>
  </si>
  <si>
    <t>2 R DU BOIS DE MALADRIE BP 2122 44121 VERTOU CEDEX</t>
  </si>
  <si>
    <t>33 R DES PAPILLONS BP 61 44840 LES SORINIERES</t>
  </si>
  <si>
    <t>25 R HENRY DE MONTHERLANT  44110 CHATEAUBRIANT</t>
  </si>
  <si>
    <t>15 AV CHANZY  44000 NANTES</t>
  </si>
  <si>
    <t>30 R DE LA GOUPILLAIS BP 74 44130 BLAIN</t>
  </si>
  <si>
    <t>69 R ANDRÉ CHENIER BP 107 44612 ST NAZAIRE CEDEX</t>
  </si>
  <si>
    <t>16 R DES CORDIERS  44560 PAIMBOEUF</t>
  </si>
  <si>
    <t>6 R DES MARAIS  44450 ST JULIEN DE CONCELLES</t>
  </si>
  <si>
    <t xml:space="preserve"> RTE DE SAINT FIACRE BP 27 44120 VERTOU</t>
  </si>
  <si>
    <t xml:space="preserve"> CHE DE LA FORET  44130 BOUVRON</t>
  </si>
  <si>
    <t xml:space="preserve">    44160 PONTCHATEAU</t>
  </si>
  <si>
    <t xml:space="preserve">    44450 ST JULIEN DE CONCELLES</t>
  </si>
  <si>
    <t>150 R DES FRESNES BP 103 44153 ANCENIS CEDEX</t>
  </si>
  <si>
    <t>20 AV JEAN JACQUES ROUSSEAU  44800 ST HERBLAIN</t>
  </si>
  <si>
    <t xml:space="preserve"> AV DES PAPILLONS BLANCS  44330 VALLET</t>
  </si>
  <si>
    <t>8B  ALLEE J BRISSOT  44800 ST HERBLAIN</t>
  </si>
  <si>
    <t>22 RTE DE CHEMERE  44680 ST HILAIRE DE CHALEONS</t>
  </si>
  <si>
    <t>83 AV CLAUDE ANTOINE PECCOT  44700 ORVAULT</t>
  </si>
  <si>
    <t>28 R DU PUITS NEUF  44650 LEGE</t>
  </si>
  <si>
    <t xml:space="preserve">   LE PAS DE LA HAIE 44320 ARTHON EN RETZ</t>
  </si>
  <si>
    <t>1 R DE LA GARDE  44000 NANTES</t>
  </si>
  <si>
    <t>53 R RUSSEIL  44000 NANTES</t>
  </si>
  <si>
    <t>25 R HENRY DE MONTHERLAND  44110 CHATEAUBRIANT</t>
  </si>
  <si>
    <t>12 R BOBBY SANDS  44813 ST HERBLAIN CEDEX</t>
  </si>
  <si>
    <t>41T R DES PAPILLONS  44300 NANTES</t>
  </si>
  <si>
    <t>20 R JEAN JACQUES ROUSSEAU  44800 ST HERBLAIN</t>
  </si>
  <si>
    <t xml:space="preserve"> RTE DE SAINT FIACRE  44120 VERTOU</t>
  </si>
  <si>
    <t xml:space="preserve">  LES LOGES BP 8 44140 MONTBERT</t>
  </si>
  <si>
    <t>50 R DE L'OUCHE CATIN  44230 ST SEBASTIEN SUR LOIRE</t>
  </si>
  <si>
    <t>11 R JOSEPH CAILLE  44000 NANTES</t>
  </si>
  <si>
    <t>13 BD VINCENT GACHE  44300 NANTES</t>
  </si>
  <si>
    <t xml:space="preserve">    44840 LES SORINIERES</t>
  </si>
  <si>
    <t>8 R EUGENE CORNET  44600 ST NAZAIRE</t>
  </si>
  <si>
    <t>56 R MICHEL ANGE  44600 ST NAZAIRE</t>
  </si>
  <si>
    <t>11 R LAVOISIER  44160 PONTCHATEAU</t>
  </si>
  <si>
    <t>37 R DU BER SAILLE  44350 GUERANDE</t>
  </si>
  <si>
    <t>440 R LAVOISIER BP 40113 44153 ANCENIS CEDEX</t>
  </si>
  <si>
    <t>43 R D'ANCENIS  44110 CHATEAUBRIANT</t>
  </si>
  <si>
    <t>64 R DE LA CLASSERIE BP 59 44401 REZE CEDEX</t>
  </si>
  <si>
    <t xml:space="preserve"> RTE DE LA CHEBUETTE  44450 ST JULIEN DE CONCELLES</t>
  </si>
  <si>
    <t>1 R URBAIN LE VERRIER  44340 BOUGUENAIS</t>
  </si>
  <si>
    <t>24 R DU CHATEAU D'EAU BP 62 44130 BLAIN</t>
  </si>
  <si>
    <t xml:space="preserve">  LE FIEF DU PARC  44190 GETIGNE</t>
  </si>
  <si>
    <t>8 R DE LA HAUTE MITRIE BP 71921 44319 NANTES CEDEX 3</t>
  </si>
  <si>
    <t xml:space="preserve"> CHE DE NOZEA  44390 NORT SUR ERDRE</t>
  </si>
  <si>
    <t xml:space="preserve">   LA CHARMELIERE 44470 CARQUEFOU</t>
  </si>
  <si>
    <t xml:space="preserve">    44800 ST HERBLAIN</t>
  </si>
  <si>
    <t>1 R URBAIN DE VERRIER  44340 BOUGUENAIS</t>
  </si>
  <si>
    <t>8 R E.CORNET  44600 ST NAZAIRE</t>
  </si>
  <si>
    <t>2 R ALBERT GUENO  44350 GUERANDE</t>
  </si>
  <si>
    <t>8 R ETOILE DU MATIN  44600 ST NAZAIRE</t>
  </si>
  <si>
    <t>8 R JAN PALACH CP 5005 44800 ST HERBLAIN</t>
  </si>
  <si>
    <t>17 R BAPTISTE MARCET  44100 NANTES</t>
  </si>
  <si>
    <t>89 R DE TRIGNAC  44600 ST NAZAIRE</t>
  </si>
  <si>
    <t>51 R DE CHATEAUBRIANT BP 203 44600 ST NAZAIRE</t>
  </si>
  <si>
    <t xml:space="preserve"> CHE DU VIGNEAU  44800 ST HERBLAIN</t>
  </si>
  <si>
    <t>5 BD MENDES FRANCE  44400 REZE</t>
  </si>
  <si>
    <t>17 R BAPTISTE MARCET  44000 NANTES</t>
  </si>
  <si>
    <t>14 BD GAMBETTA  44600 ST NAZAIRE</t>
  </si>
  <si>
    <t>12 R GEORGES MANDEL  44200 NANTES</t>
  </si>
  <si>
    <t xml:space="preserve"> RTE DE NANTES BP 80017 44370 VARADES</t>
  </si>
  <si>
    <t xml:space="preserve"> RTE DE ST FIACRE BP 42303 44123 VERTOU CEDEX</t>
  </si>
  <si>
    <t>2 R EUGENE CORNET BP 40 122 44612 ST NAZAIRE CEDEX</t>
  </si>
  <si>
    <t xml:space="preserve"> RTE DE NANTES LE COTEAU  44370 VARADES</t>
  </si>
  <si>
    <t>32 BD DE LA GARE  44390 NORT SUR ERDRE</t>
  </si>
  <si>
    <t>39 ALL DE LA CIVELIERE  44200 NANTES</t>
  </si>
  <si>
    <t>15 R DU MARTRAIS  44130 LE GAVRE</t>
  </si>
  <si>
    <t>40 R PILIERS DE LA CHAUVINIERE  44800 ST HERBLAIN</t>
  </si>
  <si>
    <t>60 AV DE BODON  44250 ST BREVIN LES PINS</t>
  </si>
  <si>
    <t>77 AV DE LA HAUTIÈRE  44250 ST BREVIN LES PINS</t>
  </si>
  <si>
    <t>1 BD MENDES FRANCE  44400 REZE</t>
  </si>
  <si>
    <t>51 R DE CHATEAUBRIAND BP 203 44600 ST NAZAIRE</t>
  </si>
  <si>
    <t>1 R VIGIER  44100 NANTES</t>
  </si>
  <si>
    <t>36 ALL DE LA CIVELIERE  44200 NANTES</t>
  </si>
  <si>
    <t>14 BD WINSTON CHURCHILL  44100 NANTES</t>
  </si>
  <si>
    <t xml:space="preserve"> CHE DE GIROUARD BP 70523 44475 CARQUEFOU CEDEX</t>
  </si>
  <si>
    <t xml:space="preserve">   LA FERME DU CHATEAU 44170 VAY</t>
  </si>
  <si>
    <t>12 R DE CARQUEFOU  44470 THOUARE SUR LOIRE</t>
  </si>
  <si>
    <t>2 R EUGENE  CORNET BP 40122 44612 ST NAZAIRE CEDEX</t>
  </si>
  <si>
    <t>9 IMP DES SAULES  44450 ST JULIEN DE CONCELLES</t>
  </si>
  <si>
    <t>20 R JEAN JAURES BP 33317 44233 ST SEBASTIEN SUR LOIRE CED</t>
  </si>
  <si>
    <t>9 R MAURICE RAVEL BP 33317 44230 ST SEBASTIEN SUR LOIRE</t>
  </si>
  <si>
    <t>17 R HAIE D ANCHETEAU  44620 LA MONTAGNE</t>
  </si>
  <si>
    <t>7 RTE DE NORT SUR ERDRE  44240 SUCE SUR ERDRE</t>
  </si>
  <si>
    <t>5  PIERRE DE GILLES DE GENES  44640 ST JEAN DE BOISEAU</t>
  </si>
  <si>
    <t xml:space="preserve">    44620 LA MONTAGNE</t>
  </si>
  <si>
    <t>55 AV DE BODON  44250 ST BREVIN LES PINS</t>
  </si>
  <si>
    <t>30 R DES MURAILLES  44430 LE LOROUX BOTTEREAU</t>
  </si>
  <si>
    <t xml:space="preserve"> RTE DE TREILLIERES LE MOULIN DES LANDES 44119 GRANDCHAMPS DES FONTAINES</t>
  </si>
  <si>
    <t>9 R DE L'INDUSTRIE  44330 VALLET</t>
  </si>
  <si>
    <t>330 R DU VERGER  44150 ANCENIS</t>
  </si>
  <si>
    <t>7 R ARSENE LELOUP  44100 NANTES</t>
  </si>
  <si>
    <t xml:space="preserve">    44310 ST PHILBERT DE GRAND LIEU</t>
  </si>
  <si>
    <t>5 AV ST GOUSTAN BP 27 44490 LE CROISIC</t>
  </si>
  <si>
    <t>2 R DE LA CROIX DES FOSSES BP 2605 VERTOUX 44115 BASSE GOULAINE</t>
  </si>
  <si>
    <t>94 R DE LA MARRIERE BP 51919 44319 NANTES CEDEX 3</t>
  </si>
  <si>
    <t>6 R ERNEST RENAN  44600 ST NAZAIRE</t>
  </si>
  <si>
    <t xml:space="preserve">   CHEMIN DE NOZEA 44390 NORT SUR ERDRE</t>
  </si>
  <si>
    <t xml:space="preserve"> LD TERRE NEUVE  44320 CHAUVE</t>
  </si>
  <si>
    <t>56 R DE LA PAPOTIERE BP 81601 44316 NANTES CEDEX 3</t>
  </si>
  <si>
    <t>9 AV D'AURAY  44300 NANTES</t>
  </si>
  <si>
    <t>3 R BRISSET  44100 NANTES</t>
  </si>
  <si>
    <t>4 ALL DES STERNES  44600 ST NAZAIRE</t>
  </si>
  <si>
    <t>49 R LOUISE VOISINE BP 56 49600 BEAUPREAU</t>
  </si>
  <si>
    <t>5 R PAUL POUSSET  49100 ANGERS</t>
  </si>
  <si>
    <t xml:space="preserve"> BOIS DE ROCHEFOUCQ  49170 ST GEORGES SUR LOIRE</t>
  </si>
  <si>
    <t>31 BD ALLENDE  44800 ST HERBLAIN</t>
  </si>
  <si>
    <t>7 R ARSENE LELOUP  44000 NANTES</t>
  </si>
  <si>
    <t>28 R DU GENERAL DE GAULLE BP 4315 44243 LA CHAPELLE SUR ERDRE CEDE</t>
  </si>
  <si>
    <t>50 R BUSSON BILLAULT  44115 BASSE GOULAINE</t>
  </si>
  <si>
    <t>31B BD ALBERT EINSTEIN BP 92306 44323 NANTES CEDEX 3</t>
  </si>
  <si>
    <t>28 R CHARLES DE GAULLE BP 4315 44243 LA CHAPELLE SUR ERDRE CEDE</t>
  </si>
  <si>
    <t>2 R DE LA CROIX DES FOSSES BP 2605 44115 BASSE GOULAINE</t>
  </si>
  <si>
    <t>8 R DES COTEAUX GESVRES 44119 TREILLIERES</t>
  </si>
  <si>
    <t>30 AV DE LA COUTANCIERE BP 4306 44243 LA CHAPELLE SUR ERDRE CEDE</t>
  </si>
  <si>
    <t xml:space="preserve"> RTE DE BOUCHEMAINE BP 89 49130 STE GEMMES SUR LOIRE</t>
  </si>
  <si>
    <t>8 R DE LA GIROUARDIERE BP 24 49150 BAUGE EN ANJOU</t>
  </si>
  <si>
    <t xml:space="preserve">    49170 ST GEORGES SUR LOIRE</t>
  </si>
  <si>
    <t xml:space="preserve"> RTE DE SEGRE  49420 POUANCE</t>
  </si>
  <si>
    <t>15 R DU LANDREAU  49070 BEAUCOUZE</t>
  </si>
  <si>
    <t>3 RTE DE LONGUE  49390 VERNANTES</t>
  </si>
  <si>
    <t>31 R NATIONALE LE MESNIL-EN-VALLEE 49620 LA POMMERAYE</t>
  </si>
  <si>
    <t>5 R FERNAND FOREST  49000 ANGERS</t>
  </si>
  <si>
    <t>11 BD JEAN SAUVAGE  49103 ANGERS CEDEX 02</t>
  </si>
  <si>
    <t>6 R ROGER TARJON  49400 SAUMUR</t>
  </si>
  <si>
    <t xml:space="preserve"> R DU ROCHER  49500 SEGRE</t>
  </si>
  <si>
    <t xml:space="preserve"> ZA DE LA GRAND PREE  49420 POUANCE</t>
  </si>
  <si>
    <t>152 AV DE LA REPUBLIQUE  49800 TRELAZE</t>
  </si>
  <si>
    <t xml:space="preserve"> RTE DE VAULANDRY SAINT-MARTIN-D'ARCE 49150 BAUGE EN ANJOU</t>
  </si>
  <si>
    <t xml:space="preserve">    49070 ST LAMBERT LA POTHERIE</t>
  </si>
  <si>
    <t xml:space="preserve">   L'ARGERIE 49370 LE LOUROUX BECONNAIS</t>
  </si>
  <si>
    <t>275 R DES FORGES  49600 BEAUPREAU</t>
  </si>
  <si>
    <t>4 R DU GRAND MOULIN  49170 ST GEORGES SUR LOIRE</t>
  </si>
  <si>
    <t xml:space="preserve"> R DE L'HIPPODROME ZAC ECOUFLANT 49000 ECOUFLANT</t>
  </si>
  <si>
    <t xml:space="preserve">  CENTRE J B DAVIAIS LA TURMELIERE LIRE 49270 CHAMPTOCEAUX</t>
  </si>
  <si>
    <t>19 CHE DU COLOMBIER BP 20051 49181 ST BARTHELEMY D'A 49124 ST BARTHELEMY D ANJOU</t>
  </si>
  <si>
    <t>2 R DE LA SENATORERIE SAINT-HILAIRE-SAINT-FLORENT 49426 SAUMUR CEDEX</t>
  </si>
  <si>
    <t>4 R DE L'ABBE FREMOND BP 90503 49105 ANGERS CEDEX 02</t>
  </si>
  <si>
    <t>2 R DES PASTELS DE LOIRE  49080 BOUCHEMAINE</t>
  </si>
  <si>
    <t xml:space="preserve"> PAS DE LA GRATELLERIE  49130 STE GEMMES SUR LOIRE</t>
  </si>
  <si>
    <t>34 R DU HAUT CHENE  49000 ANGERS</t>
  </si>
  <si>
    <t>6 R ROGER TARJON SAINT HILAIRE SAINT FLORENT 49400 SAUMUR</t>
  </si>
  <si>
    <t xml:space="preserve">    49250 BEAUFORT EN VALLEE</t>
  </si>
  <si>
    <t xml:space="preserve"> R DES AIRAULTS BP 41 49250 BEAUFORT EN VALLEE</t>
  </si>
  <si>
    <t xml:space="preserve"> PARC LA TURMELIERE LIRE 49270 CHAMPTOCEAUX</t>
  </si>
  <si>
    <t xml:space="preserve">   LIRE 49270 CHAMPTOCEAUX</t>
  </si>
  <si>
    <t>35 BD DES DEUX CROIX  49100 ANGERS</t>
  </si>
  <si>
    <t xml:space="preserve">  COMMUNAUTE DE L'ARCHE NUEIL-SUR-LAYON 49310 VIHIERS</t>
  </si>
  <si>
    <t>33 R ROGER CHAUVIRE  49100 ANGERS</t>
  </si>
  <si>
    <t>33 R ROGER CHAUVIRE  49000 ANGERS</t>
  </si>
  <si>
    <t>19 CHE DU COMLOMBIER BP 70047 49181 ST BARTHELEMY D ANJOU CEDE</t>
  </si>
  <si>
    <t>4 R DE L'ABBE FREMOND  49100 ANGERS</t>
  </si>
  <si>
    <t xml:space="preserve">    49000 ANGERS</t>
  </si>
  <si>
    <t>51 R DU VALLON  49000 ANGERS</t>
  </si>
  <si>
    <t>27 BD DE LA CHANTERIE  49480 ST SYLVAIN D ANJOU</t>
  </si>
  <si>
    <t xml:space="preserve"> BD ROBERT  49933 ANGERS CEDEX 9</t>
  </si>
  <si>
    <t>8 ALL DU CHATEAU BP 50033 49800 TRELAZE</t>
  </si>
  <si>
    <t>8B R RENE HERSEN  49240 AVRILLE</t>
  </si>
  <si>
    <t>15 R DU CHEMINEAU  49480 ST SYLVAIN D ANJOU</t>
  </si>
  <si>
    <t>8 R ROLAND GARROS  49000 ANGERS</t>
  </si>
  <si>
    <t>8 R MARGUERITE YOURCENAR  49000 ANGERS</t>
  </si>
  <si>
    <t>114 R DE LA CHALOUERE BP 3114 49017 ANGERS CEDEX 02</t>
  </si>
  <si>
    <t xml:space="preserve"> R DES HAUTS ST JEAN  49503 SEGRE CEDEX</t>
  </si>
  <si>
    <t>2 R LEONCE MALECOT BP 2701 BAGNEUX 49427 SAUMUR CEDEX</t>
  </si>
  <si>
    <t>2 CHE DE RIGNE  49150 BAUGE EN ANJOU</t>
  </si>
  <si>
    <t>54 AV DE L'EUROPE  49130 LES PONTS DE CE</t>
  </si>
  <si>
    <t>18 R DU CHAMP NOIR  49300 CHOLET</t>
  </si>
  <si>
    <t>8 R DE SABLE  49300 CHOLET</t>
  </si>
  <si>
    <t>4 R DU ROCHER  49800 TRELAZE</t>
  </si>
  <si>
    <t>7 R PAUL LANGEVIN  49240 AVRILLE</t>
  </si>
  <si>
    <t>12 ALL DES CHENES BP 50335 49503 SEGRE CEDEX</t>
  </si>
  <si>
    <t xml:space="preserve"> CHE DES PATUREAUX SAINT LAMBERT DES LEVEES 49400 SAUMUR</t>
  </si>
  <si>
    <t>59 R RENE BARJOT  49300 CHOLET</t>
  </si>
  <si>
    <t>4 R DE L'ABBE FREMOND BP 20505 49105 ANGERS CEDEX 02</t>
  </si>
  <si>
    <t>4C R ABBE FREMOND  49000 ANGERS</t>
  </si>
  <si>
    <t>32 BD MONPLAISIR BP 3033 49017 ANGERS CEDEX 02</t>
  </si>
  <si>
    <t>80 RTE DE L'HERMITAGE EMPIRE 49130 STE GEMMES SUR LOIRE</t>
  </si>
  <si>
    <t>74 R DES PONTS DE CE  49000 ANGERS</t>
  </si>
  <si>
    <t>94 R AUGUSTE CHOUTEAU  49800 TRELAZE</t>
  </si>
  <si>
    <t>1 R ANDRE MALRAUX  49240 AVRILLE</t>
  </si>
  <si>
    <t>2 R DES ECUREUILS  49300 CHOLET</t>
  </si>
  <si>
    <t>30 R DES PEUPLERAIES BAGNEUX 49400 SAUMUR</t>
  </si>
  <si>
    <t>3 R DES PONEYS  49300 CHOLET</t>
  </si>
  <si>
    <t>126 R ST LEONARD BP 71857 49018 ANGERS CEDEX 01</t>
  </si>
  <si>
    <t>1 SQ DE JONCHÈRES  49000 ANGERS</t>
  </si>
  <si>
    <t xml:space="preserve"> ZA LA BOTTE MOLIÈRE  49620 LA POMMERAYE</t>
  </si>
  <si>
    <t>14 R GOUNOD BP 50335 49503 SEGRE CEDEX</t>
  </si>
  <si>
    <t>19 R DE LA GRELLIERE  49390 VERNANTES</t>
  </si>
  <si>
    <t xml:space="preserve"> RTE DE CHALONNES BP 45 49120 CHEMILLE MELAY</t>
  </si>
  <si>
    <t xml:space="preserve"> RTE DE CHALONNES BP 80045 49120 CHEMILLE MELAY</t>
  </si>
  <si>
    <t>5 PL DE L'EPINAY  49390 VERNANTES</t>
  </si>
  <si>
    <t xml:space="preserve"> RTE DE BLOU BP 15 49390 VERNANTES</t>
  </si>
  <si>
    <t>1 R DE LA ROGERIE LA JUMELLIERE 49120 CHEMILLE MELAY</t>
  </si>
  <si>
    <t xml:space="preserve"> ZA LES SOURCES BP 41 MELAY 49120 CHEMILLE MELAY</t>
  </si>
  <si>
    <t>70 R DES BONNELLES  49000 ANGERS</t>
  </si>
  <si>
    <t>2 R DES MOULINS PRUNIERS 49080 BOUCHEMAINE</t>
  </si>
  <si>
    <t>5 R DES CHESNAIES  49100 ANGERS</t>
  </si>
  <si>
    <t>2 R DE MOULINS PRUNIERS  49080 BOUCHEMAINE</t>
  </si>
  <si>
    <t xml:space="preserve"> R DES RUISSEAUX  49300 CHOLET</t>
  </si>
  <si>
    <t>8 R DE L'HERMITAGE  49280 ST LEGER SOUS CHOLET</t>
  </si>
  <si>
    <t>9 R DE TOURS  49300 CHOLET</t>
  </si>
  <si>
    <t xml:space="preserve"> ZA DE LA MAISON NEUVE BP 80105 49520 NOYANT LA GRAVOYERE</t>
  </si>
  <si>
    <t>20 R BOUCHE THOMAS  49000 ANGERS</t>
  </si>
  <si>
    <t>12 R CHAMP DE MONTIGNY  49080 BOUCHEMAINE</t>
  </si>
  <si>
    <t>58 R HAUTE DE RECULEE  49100 ANGERS</t>
  </si>
  <si>
    <t>11 R CHARLES DE GAULLE LE HAUT JONCHERAY 49330 CONTIGNE</t>
  </si>
  <si>
    <t xml:space="preserve">    49124 ST BARTHELEMY D ANJOU</t>
  </si>
  <si>
    <t xml:space="preserve"> RTE DE THOUARCE  49540 MARTIGNE BRIAND</t>
  </si>
  <si>
    <t>1869 RTE DE SARRIGNÉ CHATEAU DE BRIANCON BAUNE 49250 ST MATHURIN SUR LOIRE</t>
  </si>
  <si>
    <t>1869 RTE DE SARRIGNE BAUNE 49250 ST MATHURIN SUR LOIRE</t>
  </si>
  <si>
    <t>56 R THÉOPHILE VAUGOUIN SAINT HILAIRE SAINT FLORENT 49400 SAUMUR</t>
  </si>
  <si>
    <t>19 PL DE LA POTERNE SAINT HILAIRE SAINT FLORENT 49400 SAUMUR</t>
  </si>
  <si>
    <t>26 R DE LA GIBAUDIERE  49124 ST BARTHELEMY D ANJOU</t>
  </si>
  <si>
    <t>7 R DERY BP 10173 49480 ST SYLVAIN D ANJOU</t>
  </si>
  <si>
    <t>26 R DE LA GIBAUDIERE BP 41 49124 ST BARTHELEMY D ANJOU</t>
  </si>
  <si>
    <t>18 R DE LA MAIRIE  49170 LA POSSONNIERE</t>
  </si>
  <si>
    <t>2 R SAINT-CORENTIN  49300 CHOLET</t>
  </si>
  <si>
    <t>2 R SAINT CORENTIN  49300 CHOLET</t>
  </si>
  <si>
    <t>55 R JEAN JAURÈS  49124 ST BARTHELEMY D ANJOU</t>
  </si>
  <si>
    <t xml:space="preserve"> BD DES SORINIERES  49300 CHOLET</t>
  </si>
  <si>
    <t>32 AV DU GENERAL LECLERC  49700 DOUE LA FONTAINE</t>
  </si>
  <si>
    <t>9 R DU PAVE BP 30055 49700 DOUE LA FONTAINE</t>
  </si>
  <si>
    <t>1869 RTE DE SARRIGNE BAUNÉ 49250 ST MATHURIN SUR LOIRE</t>
  </si>
  <si>
    <t xml:space="preserve">   LA BELLE ETOILE 49320 BRISSAC QUINCE</t>
  </si>
  <si>
    <t>22 R ULPHACE BENOIST BP 11 53240 ANDOUILLE</t>
  </si>
  <si>
    <t>91 R DE GRENOUX  53000 LAVAL</t>
  </si>
  <si>
    <t>36 R ALBERT EINSTEIN BP 73901 53031 LAVAL CEDEX 9</t>
  </si>
  <si>
    <t>18 R PAUL NORMAND BP 73901 53031 LAVAL CEDEX 9</t>
  </si>
  <si>
    <t>16 IMP DE LA SENELLE  53031 LAVAL CEDEX 9</t>
  </si>
  <si>
    <t>48 RES DE LA FILOUSIERE BO 10411 53104 MAYENNE CEDEX</t>
  </si>
  <si>
    <t>48 RES DE LA FILOUSIERE BP 10411 53104 MAYENNE CEDEX</t>
  </si>
  <si>
    <t>5 R DE NORMANDIE  53160 BAIS</t>
  </si>
  <si>
    <t>1 RTE DE BAIS  53160 HAMBERS</t>
  </si>
  <si>
    <t>8 BD ROBERT BURON BP 289 53202 CHATEAU GONTIER CEDEX</t>
  </si>
  <si>
    <t>2 R JACQUES DE LA VIGNOLE  53000 LAVAL</t>
  </si>
  <si>
    <t>24 R ALBERT EINSTEIN  53000 LAVAL</t>
  </si>
  <si>
    <t>8 BD ROBERT BURON  53200 CHATEAU GONTIER</t>
  </si>
  <si>
    <t>56 AV DU GENERAL PATTON  53000 LAVAL</t>
  </si>
  <si>
    <t>10 AV PAUL GUYARD  53100 MAYENNE</t>
  </si>
  <si>
    <t xml:space="preserve"> RTE DE BRECE  53120 GORRON</t>
  </si>
  <si>
    <t>11 R D ERNEE BP 7 53220 MONTAUDIN</t>
  </si>
  <si>
    <t>40 BD FELIX GRAT  53000 LAVAL</t>
  </si>
  <si>
    <t>26 R JEAN DE SEZE BP 3907 53031 LAVAL CEDEX 9</t>
  </si>
  <si>
    <t>46 R DE LA FUYE  53000 LAVAL</t>
  </si>
  <si>
    <t xml:space="preserve"> R ST BERNARD DE CLAIRVAUX  53000 LAVAL</t>
  </si>
  <si>
    <t>34 R PIEDNOIR  53000 LAVAL</t>
  </si>
  <si>
    <t>40 R DE PICARDIE  53000 LAVAL</t>
  </si>
  <si>
    <t xml:space="preserve"> R SAINT ANDRÉ  53000 LAVAL</t>
  </si>
  <si>
    <t>3 R ST ANDRE  53000 LAVAL</t>
  </si>
  <si>
    <t>89 R DE NANTES  53000 LAVAL</t>
  </si>
  <si>
    <t>18 R DE CHALONS  53950 LA CHAPELLE ANTHENAISE</t>
  </si>
  <si>
    <t xml:space="preserve"> DOM DE LANCHENEIL  53970 NUILLE SUR VICOIN</t>
  </si>
  <si>
    <t>2 R DE LA LIBERATION  53600 EVRON</t>
  </si>
  <si>
    <t>17 R LEONCE MALECOT BP 2217 53022 LAVAL CEDEX 9</t>
  </si>
  <si>
    <t>17 R LEONCE MALECOT  53000 LAVAL</t>
  </si>
  <si>
    <t>17 PL AUGUSTINE FOUILLEE  53000 LAVAL</t>
  </si>
  <si>
    <t>15 R ROMAINVILLE BP 235 53202 CHATEAU GONTIER CEDEX</t>
  </si>
  <si>
    <t>5 BD LUCIEN DANIEL  53000 LAVAL</t>
  </si>
  <si>
    <t>12 R DE LA GARE  53800 LA SELLE CRAONNAISE</t>
  </si>
  <si>
    <t xml:space="preserve">   ASSOCIATION ROBIDA 53410 PORT BRILLET</t>
  </si>
  <si>
    <t>11 R D'ERNEE BP 7 53220 MONTAUDIN</t>
  </si>
  <si>
    <t>17 R E MESSMER  53000 LAVAL</t>
  </si>
  <si>
    <t>13 R ALBERT BLANCHARD  53000 LAVAL</t>
  </si>
  <si>
    <t xml:space="preserve"> R BERNARD DE CLAIRVAUX  53000 LAVAL</t>
  </si>
  <si>
    <t xml:space="preserve">  SAINT AMADOUR  53800 LA SELLE CRAONNAISE</t>
  </si>
  <si>
    <t>10 R DE LA GRANGE  53220 PONTMAIN</t>
  </si>
  <si>
    <t xml:space="preserve"> CHE DE MONTREUX BP 167 72303 SABLE SUR SARTHE CEDEX</t>
  </si>
  <si>
    <t>32 R D'AUSTRALIE  72100 LE MANS</t>
  </si>
  <si>
    <t xml:space="preserve"> ALL DES FONTENAILLES  72220 ECOMMOY</t>
  </si>
  <si>
    <t>1 RTE DE CONNERRE  72160 THORIGNE SUR DUE</t>
  </si>
  <si>
    <t xml:space="preserve">    72000 LE MANS</t>
  </si>
  <si>
    <t xml:space="preserve">    72600 MAMERS</t>
  </si>
  <si>
    <t>24 R DE BELLE ILE  72190 COULAINES</t>
  </si>
  <si>
    <t>24 AV DU 19 MARS 1962  72700 ALLONNES</t>
  </si>
  <si>
    <t>2 R THERESE FONTAINE BERTRAND  72000 LE MANS</t>
  </si>
  <si>
    <t>2 R DE LA PERRINE  72120 ST CALAIS</t>
  </si>
  <si>
    <t xml:space="preserve"> R LUCIEN CHASERANT  72650 ST SATURNIN</t>
  </si>
  <si>
    <t>33 R DE LA PETITE VITESSE  72300 SABLE SUR SARTHE</t>
  </si>
  <si>
    <t xml:space="preserve"> R ALBERT CAMUS  72400 LA FERTE BERNARD</t>
  </si>
  <si>
    <t xml:space="preserve"> RTE DE REVEILLON BP 21 72470 CHAMPAGNE</t>
  </si>
  <si>
    <t xml:space="preserve"> RTE DU REVEILLON BP 21 72470 CHAMPAGNE</t>
  </si>
  <si>
    <t>1 R JULIEN FORTIN BP 21 72110 ST COSME EN VAIRAIS</t>
  </si>
  <si>
    <t>8 R DU VERGER  72550 COULANS SUR GEE</t>
  </si>
  <si>
    <t>17 BD D ANJOU BP 5 72703 ALLONNES CEDEX</t>
  </si>
  <si>
    <t>12 BD DU DR GIGON CS80005 72120 ST CALAIS</t>
  </si>
  <si>
    <t>52 R PUITS DE LA CHAINE  72000 LE MANS</t>
  </si>
  <si>
    <t>17 BD D'ANJOU BP 5 72700 ALLONNES</t>
  </si>
  <si>
    <t>25 IMP ARMAND SAFFRAY  72000 LE MANS</t>
  </si>
  <si>
    <t xml:space="preserve"> R DE LA DIVISION LECLERC  72460 SAVIGNE L EVEQUE</t>
  </si>
  <si>
    <t xml:space="preserve">   LD HAUT ECLAIR 72140 SILLE LE GUILLAUME</t>
  </si>
  <si>
    <t>2 PL DE LA RÉPUBLIQUE  72600 MAMERS</t>
  </si>
  <si>
    <t>22 R JEAN ROSTAND  72440 BOULOIRE</t>
  </si>
  <si>
    <t>1 IMP ROBERT GARNIER  72390 LE LUART</t>
  </si>
  <si>
    <t>1 BD DE MAULE  72650 ST SATURNIN</t>
  </si>
  <si>
    <t>27 R DE DURTAL  72300 PRECIGNE</t>
  </si>
  <si>
    <t xml:space="preserve"> R ALBERT CAMUS BP 13 72401 LA FERTE BERNARD CEDEX</t>
  </si>
  <si>
    <t xml:space="preserve"> RTE DE RÉVEILLON  72470 CHAMPAGNE</t>
  </si>
  <si>
    <t xml:space="preserve"> RTE DE CHANGE  72250 PARIGNE L EVEQUE</t>
  </si>
  <si>
    <t>92 R MOLIERE  72000 LE MANS</t>
  </si>
  <si>
    <t>33 BD DU QUEBEC  72200 LA FLECHE</t>
  </si>
  <si>
    <t xml:space="preserve">   BP 9 72260 MAROLLES LES BRAULTS</t>
  </si>
  <si>
    <t>28 R DES GRANDES COURBES  72000 LE MANS</t>
  </si>
  <si>
    <t xml:space="preserve">  ROUTE DE L'HARDANGÈRE  72700 ALLONNES</t>
  </si>
  <si>
    <t>44 R SIEYES  72000 LE MANS</t>
  </si>
  <si>
    <t>44 R DES PINS  72230 MULSANNE</t>
  </si>
  <si>
    <t>2 R SAINT PAUL  72600 VILLENEUVE EN PERSEIGNE</t>
  </si>
  <si>
    <t>194 AV RUBILLARD  72037 LE MANS CEDEX 9</t>
  </si>
  <si>
    <t>219 R DE LA BERTNIERE  72100 LE MANS</t>
  </si>
  <si>
    <t>5 R DE LA BRIQUETERIE  72300 SABLE SUR SARTHE</t>
  </si>
  <si>
    <t xml:space="preserve"> RTE DE SABLÉ  72300 SOLESMES</t>
  </si>
  <si>
    <t>21 R ALBERT EINSTEIN  72650 LA CHAPELLE ST AUBIN</t>
  </si>
  <si>
    <t>2 R DE RIBAY  72018 LE MANS CEDEX 2</t>
  </si>
  <si>
    <t>45 R E BOUCHARDON  72100 LE MANS</t>
  </si>
  <si>
    <t>10 R TOUTAIN  72200 LA FLECHE</t>
  </si>
  <si>
    <t>60 BD LEFAUCHEUX  72000 LE MANS</t>
  </si>
  <si>
    <t xml:space="preserve"> R DE GUETTE MIDI  72290 BALLON</t>
  </si>
  <si>
    <t>71 R DE BONNETABLE  72000 LE MANS</t>
  </si>
  <si>
    <t>378 R D'ESPAGNE  72200 LE BAILLEUL</t>
  </si>
  <si>
    <t>2 R JACQUES BREL  72000 LE MANS</t>
  </si>
  <si>
    <t>60 BD PIERRE LEFAUCHEUX  72100 LE MANS</t>
  </si>
  <si>
    <t>1 R ST BARTHOLOMA  72700 ST GEORGES DU BOIS</t>
  </si>
  <si>
    <t>34 AV JOEL LE THEULE  72650 LA CHAPELLE ST AUBIN</t>
  </si>
  <si>
    <t>1 R GEORGES COULON BP 14 72150 LE GRAND LUCE</t>
  </si>
  <si>
    <t>1 IMP ST ELOI  72300 SABLE SUR SARTHE</t>
  </si>
  <si>
    <t xml:space="preserve"> DOM DE PESCHERAY  72370 LE BREIL SUR MERIZE</t>
  </si>
  <si>
    <t>9 AV JEAN ETOUBLEAU  85000 LA ROCHE SUR YON</t>
  </si>
  <si>
    <t>56 BD DE LA VIE  85170 BELLEVILLE SUR VIE</t>
  </si>
  <si>
    <t>52 R DU COMMERCE ZA ACTI-SUD 85000 LA ROCHE SUR YON</t>
  </si>
  <si>
    <t>30 PL GALILEE  85300 CHALLANS</t>
  </si>
  <si>
    <t xml:space="preserve">    85400 LUCON</t>
  </si>
  <si>
    <t>71 R DE BONNETABLE  72100 LE MANS</t>
  </si>
  <si>
    <t xml:space="preserve"> LD LA MASSELIERE  72200 BAZOUGES SUR LE LOIR</t>
  </si>
  <si>
    <t xml:space="preserve"> DOM DE BANNES BP 3034 72500 CHATEAU DU LOIR</t>
  </si>
  <si>
    <t xml:space="preserve"> RTE DE SPAY  72700 ALLONNES</t>
  </si>
  <si>
    <t xml:space="preserve"> RTE DE MAMERS BP 80116 72400 LA FERTE BERNARD</t>
  </si>
  <si>
    <t>5 R BESSEMER BP 03 72024 LE MANS CEDEX 2</t>
  </si>
  <si>
    <t>150 R DES FONTENELLES  72000 LE MANS</t>
  </si>
  <si>
    <t xml:space="preserve"> DOM DE LA MASSELIERE  72200 BAZOUGES SUR LE LOIR</t>
  </si>
  <si>
    <t>1 R DE LA BOUCHARDIERE  72230 RUAUDIN</t>
  </si>
  <si>
    <t>2 AV PIERRE PIFFAULT 2/4 72000 LE MANS</t>
  </si>
  <si>
    <t>2 AV PIERRE PIFFAULT  72000 LE MANS</t>
  </si>
  <si>
    <t xml:space="preserve">    72530 YVRE L EVEQUE</t>
  </si>
  <si>
    <t>46 AV JEAN ETOUBLEAU  85000 LA ROCHE SUR YON</t>
  </si>
  <si>
    <t>68 R GASTON RAMON  85000 LA ROCHE SUR YON</t>
  </si>
  <si>
    <t>7 R GABELOUS  85340 OLONNE SUR MER</t>
  </si>
  <si>
    <t>27 CHE DE LA PAIRETTE  85026 LA ROCHE SUR YON CEDEX</t>
  </si>
  <si>
    <t>751 AV DOCTEUR MATHEVET  85560 LONGEVILLE SUR MER</t>
  </si>
  <si>
    <t xml:space="preserve"> R DES PRIMEVERES BP 7 85220 COEX</t>
  </si>
  <si>
    <t>10 ALL HENRY SIMON BP 435 85304 CHALLANS CEDEX</t>
  </si>
  <si>
    <t xml:space="preserve"> RTE DE MOUILLERON LES TERRES NOIRES-BP 744 85018 LA ROCHE SUR YON CEDEX</t>
  </si>
  <si>
    <t>22 ALL DU PUITS  85200 FONTENAY LE COMTE</t>
  </si>
  <si>
    <t>39 R DE LA DEMOISELLE HAMEAU DU GRAND FIEF 85500 LES HERBIERS</t>
  </si>
  <si>
    <t>80 R DE LA BELLE OLONNAISE  85340 OLONNE SUR MER</t>
  </si>
  <si>
    <t>12 BD AUGUSTE DURAND  85600 MONTAIGU</t>
  </si>
  <si>
    <t xml:space="preserve"> RTE DE MOUILLERON BP 744 85018 LA ROCHE SUR YON CEDEX</t>
  </si>
  <si>
    <t>59B R DE LA CAPITAL DU BAS POITOU  85200 FONTENAY LE COMTE</t>
  </si>
  <si>
    <t xml:space="preserve">    85410 THOUARSAIS BOUILDROUX</t>
  </si>
  <si>
    <t>47 R DES GRAVANTS  85200 FONTENAY LE COMTE</t>
  </si>
  <si>
    <t>2 R DE LA TOUR  85150 LA MOTHE ACHARD</t>
  </si>
  <si>
    <t>15 R DE VILLENEUVE  85300 CHALLANS</t>
  </si>
  <si>
    <t xml:space="preserve"> R DES MINÉES  85110 CHANTONNAY</t>
  </si>
  <si>
    <t>31 R DE LA MAIRIE  85200 ST MICHEL LE CLOUCQ</t>
  </si>
  <si>
    <t>57 R TIRAQUEAU  85200 FONTENAY LE COMTE</t>
  </si>
  <si>
    <t>26 IMP DU PRÉ DES MAUVES LOT DES ORMEAUX 85400 LUCON</t>
  </si>
  <si>
    <t>23 R DU CHEVREFEUILLE  85600 LA GUYONNIERE</t>
  </si>
  <si>
    <t xml:space="preserve"> RTE DE MOUILLERON BP 359 85009 LA ROCHE SUR YON CEDEX</t>
  </si>
  <si>
    <t xml:space="preserve"> RTE DE LUCON LA BREMAUDIÈRE 85400 STE GEMME LA PLAINE</t>
  </si>
  <si>
    <t>29 R DU BOIS DE LA FOLIE  85703 POUZAUGES CEDEX</t>
  </si>
  <si>
    <t>16 R JOSEPH MONNIER  85220 COEX</t>
  </si>
  <si>
    <t xml:space="preserve">   LE BOITISSENDEAU 85500 LES HERBIERS</t>
  </si>
  <si>
    <t>46 R MARYSE BASTIE  85300 CHALLANS</t>
  </si>
  <si>
    <t xml:space="preserve"> BD LOUIS PASTEUR  85600 LA GUYONNIERE</t>
  </si>
  <si>
    <t>6 R RENE COTY  85000 LA ROCHE SUR YON</t>
  </si>
  <si>
    <t>7 R DE L INDUSTRIE  85500 LES HERBIERS</t>
  </si>
  <si>
    <t>18 BD AUGUSTE DURAND  85600 MONTAIGU</t>
  </si>
  <si>
    <t>39 R DE LA DEMOISELLE  85500 LES HERBIERS</t>
  </si>
  <si>
    <t xml:space="preserve"> R DES HAUTES ROCHES  85200 FONTENAY LE COMTE</t>
  </si>
  <si>
    <t xml:space="preserve"> R DE LA BRACHETIERE  85170 LE POIRE SUR VIE</t>
  </si>
  <si>
    <t>19 RTE DU POIRE SUR VIE VILLAGE ARTISANAL 85190 AIZENAY</t>
  </si>
  <si>
    <t>13 R SAINT-DOMINIQUE  85300 CHALLANS</t>
  </si>
  <si>
    <t>21 R MARCEL CERDAN  85500 LES HERBIERS</t>
  </si>
  <si>
    <t>55 RTE DES MARAICHERS BP 1 85340 OLONNE SUR MER</t>
  </si>
  <si>
    <t>1 R FLANDRE DUNKERQUE  85500 LES HERBIERS</t>
  </si>
  <si>
    <t>31 R VALENTIN ROUSSIERE  85000 LA ROCHE SUR YON</t>
  </si>
  <si>
    <t>55 R PHILIPPE LEBON CS 10007 85035 LA ROCHE SUR YON CEDEX</t>
  </si>
  <si>
    <t>10 IMP THALÈS LES BAZINIÈRES 2 85000 LA ROCHE SUR YON</t>
  </si>
  <si>
    <t xml:space="preserve"> RTE DE BEAUPUY  85000 MOUILLERON LE CAPTIF</t>
  </si>
  <si>
    <t>6 R DES PUYS  85000 LA ROCHE SUR YON</t>
  </si>
  <si>
    <t>136 BD RIVOLI  85000 LA ROCHE SUR YON</t>
  </si>
  <si>
    <t>1 R DE LA POCTIERE  85300 CHALLANS</t>
  </si>
  <si>
    <t xml:space="preserve">    85000 LA ROCHE SUR YON</t>
  </si>
  <si>
    <t xml:space="preserve"> AV DU GÉNÉRAL DE GAULLE  85200 FONTENAY LE COMTE</t>
  </si>
  <si>
    <t>58 R FRIEDLAND RESIDENCE LE GRAND PAVOIS 85000 LA ROCHE SUR YON</t>
  </si>
  <si>
    <t xml:space="preserve"> R FROMENTEAU  85600 LA GUYONNIERE</t>
  </si>
  <si>
    <t>8 R DES ELOUX  85740 L EPINE</t>
  </si>
  <si>
    <t>47 R DE ST JEAN DE MONTS BP 17 85690 NOTRE DAME DE MONTS</t>
  </si>
  <si>
    <t>825 RTE DE LA ROCHE SUR YON LE PAVILLON 85310 ST FLORENT DES BOIS</t>
  </si>
  <si>
    <t>138 R GASTON RAMON RÉSIDENCE M.DE SAUBONNE 85000 LA ROCHE SUR YON</t>
  </si>
  <si>
    <t>791 RTE DE LA ROCHE SUR YON LE PAVILLON 85310 ST FLORENT DES BOIS</t>
  </si>
  <si>
    <t>16 R PIERRE LATECOERE  85000 LA ROCHE SUR YON</t>
  </si>
  <si>
    <t>7B R DU PAYS DE RETZ  85230 BOUIN</t>
  </si>
  <si>
    <t>14 RTE DE POITIERS BP 39 85290 MORTAGNE SUR SEVRE</t>
  </si>
  <si>
    <t xml:space="preserve">    85925 LA ROCHE SUR YON CEDEX 9</t>
  </si>
  <si>
    <t xml:space="preserve">    85120 LA CHATAIGNERAIE</t>
  </si>
  <si>
    <t xml:space="preserve"> VOI LINO VENTURA  85140 CHAUCHE</t>
  </si>
  <si>
    <t xml:space="preserve"> R DES IBIS BP 25 85140 LES ESSARTS</t>
  </si>
  <si>
    <t>18 R DE L'INDUSTRIE  85110 CHANTONNAY</t>
  </si>
  <si>
    <t xml:space="preserve"> R CHAMPLAIN  85000 LA ROCHE SUR YON</t>
  </si>
  <si>
    <t xml:space="preserve"> R DE CHATEAUBRIANT  85110 ST GERMAIN DE PRINCAY</t>
  </si>
  <si>
    <t xml:space="preserve"> R DE CHATEAUBRIAND  85110 ST GERMAIN DE PRINCAY</t>
  </si>
  <si>
    <t xml:space="preserve"> CHE DE LA PAIRETTE BP 645 85016 LA ROCHE SUR YON CEDEX</t>
  </si>
  <si>
    <t>9 R AMPERE  85000 LA ROCHE SUR YON</t>
  </si>
  <si>
    <t>45 R DE LA DEMOISELLE  85500 LES HERBIERS</t>
  </si>
  <si>
    <t>9 R RENE DESCARTES POLE D'ACTIVITE LA BRETONNIERE 85600 BOUFFERE</t>
  </si>
  <si>
    <t>39 R GOSCINNY  85000 LA ROCHE SUR YON</t>
  </si>
  <si>
    <t>9 R AMIRAL VAUGIRARD RESIDENCE L'ARMOISE 85100 LES SABLES D OLONNE</t>
  </si>
  <si>
    <t>39 R GOSCINNY LE PAVILLON 85000 LA ROCHE SUR YON</t>
  </si>
  <si>
    <t xml:space="preserve">    85290 MORTAGNE SUR SEVRE</t>
  </si>
  <si>
    <t>48 R PIERRE BRESSUIRE  85120 ST PIERRE DU CHEMIN</t>
  </si>
  <si>
    <t>9 R EMILIE ANGELOTZ  85700 POUZAUGES</t>
  </si>
  <si>
    <t xml:space="preserve">   LA MAISON NEUVE PAYNEAU 85140 LES ESSARTS</t>
  </si>
  <si>
    <t xml:space="preserve">2 R RENE DUNAN CS 66216 44262 NANTES CEDEX 2 </t>
  </si>
  <si>
    <t xml:space="preserve">40 R DES FRAICHES  44120 VERTOU </t>
  </si>
  <si>
    <t xml:space="preserve">63 R MARZELLE DE GRILLAUD  44100 NANTES </t>
  </si>
  <si>
    <t xml:space="preserve">7 ALL DE L'ILE GLORIETTE BP 1005 44093 NANTES CEDEX 1 </t>
  </si>
  <si>
    <t xml:space="preserve">21 AV DE LATTRE TASSIGNY BP 168 44504 LA BAULE CEDEX </t>
  </si>
  <si>
    <t xml:space="preserve">40 R DU DR SCHWEITZER BP 107 44612 ST NAZAIRE CEDEX </t>
  </si>
  <si>
    <t xml:space="preserve">13 BD DES POILUS  44300 NANTES </t>
  </si>
  <si>
    <t xml:space="preserve"> RTE DE ST FIACRE  44120 VERTOU </t>
  </si>
  <si>
    <t xml:space="preserve">3 ALL DES MARRONNIERS  44260 SAVENAY </t>
  </si>
  <si>
    <t xml:space="preserve"> RTE DE ST ETIENNE DE MONTLUC BP 35 44220 COUERON </t>
  </si>
  <si>
    <t xml:space="preserve">   21 BEL AIR 44650 CORCOUE SUR LOGNE </t>
  </si>
  <si>
    <t xml:space="preserve">2 R DU BOIS DE MALADRIE BP 2122 44121 VERTOU CEDEX </t>
  </si>
  <si>
    <t xml:space="preserve">13 R JOSEPH CAILLE BP 30824 44008 NANTES CEDEX 1 </t>
  </si>
  <si>
    <t xml:space="preserve"> R ABBE GOURAY LE CALVAIRE 44160 PONTCHATEAU </t>
  </si>
  <si>
    <t xml:space="preserve"> RTE DE THOUARE  44470 CARQUEFOU </t>
  </si>
  <si>
    <t xml:space="preserve">8 R DE L'ETOILE DU MATIN BP 321 44615 ST NAZAIRE CEDEX </t>
  </si>
  <si>
    <t xml:space="preserve">12 R DE CLERMONT  44000 NANTES </t>
  </si>
  <si>
    <t xml:space="preserve">36 RTE DE CLISSON  44200 NANTES </t>
  </si>
  <si>
    <t xml:space="preserve">10 R GAETAN RONDEAU CS 86236 44262 NANTES CEDEX 2 </t>
  </si>
  <si>
    <t xml:space="preserve">5 R BOILEAU  44000 NANTES </t>
  </si>
  <si>
    <t xml:space="preserve">6 R BRIENT 1ER BP 157 44144 CHATEAUBRIANT CEDEX </t>
  </si>
  <si>
    <t xml:space="preserve">20 AV JEAN JAURES BP 33317 44233 ST SEBASTIEN SUR LOIRE CED </t>
  </si>
  <si>
    <t xml:space="preserve">60 AV DE BODON  44250 ST BREVIN LES PINS </t>
  </si>
  <si>
    <t xml:space="preserve">7 ALL DE LA MALADRIE BP 32302 44120 VERTOU </t>
  </si>
  <si>
    <t xml:space="preserve">2 CHE DU VIGNEAU  44800 ST HERBLAIN </t>
  </si>
  <si>
    <t xml:space="preserve">55 AV DE BODON  44250 ST BREVIN LES PINS </t>
  </si>
  <si>
    <t xml:space="preserve">1 ALL ALPHONSE FILLION LES CLOUZEAUX BP 2222 44122 VERTOU CEDEX </t>
  </si>
  <si>
    <t xml:space="preserve"> RTE DE TREILLIERES LE MOULIN DES LANDES 44119 GRANDCHAMPS DES FONTAINES </t>
  </si>
  <si>
    <t xml:space="preserve">45 BD DE LA ROMANERIE  49124 ST BARTHELEMY D ANJOU </t>
  </si>
  <si>
    <t xml:space="preserve">32 R EIFFEL BP 287 61008 ALENCON CEDEX </t>
  </si>
  <si>
    <t xml:space="preserve">19 R MARIUS GROSSO  69120 VAULX EN VELIN </t>
  </si>
  <si>
    <t xml:space="preserve">173 R DE LA CROIX NIVERT  75015 PARIS </t>
  </si>
  <si>
    <t xml:space="preserve">17 BD AUGUSTE BLANQUI  75013 PARIS </t>
  </si>
  <si>
    <t xml:space="preserve">15 R MAYET  75006 PARIS </t>
  </si>
  <si>
    <t xml:space="preserve">160 R CRIMEE  75019 PARIS </t>
  </si>
  <si>
    <t xml:space="preserve">3 R DU COLONEL FABIEN  78220 VIROFLAY </t>
  </si>
  <si>
    <t xml:space="preserve"> CHE DE LA PAIRETTE BP 163 85004 LA ROCHE SUR YON CEDEX </t>
  </si>
  <si>
    <t xml:space="preserve">49 R LOUISE VOISINE BP 56 49601 BEAUPREAU CEDEX </t>
  </si>
  <si>
    <t xml:space="preserve"> BOIS DE ROCHEFOUCQ  49170 ST GEORGES SUR LOIRE </t>
  </si>
  <si>
    <t xml:space="preserve">2 CHE DU BREIL BP 60075 44818 ST HERBLAIN CEDEX </t>
  </si>
  <si>
    <t xml:space="preserve">102B BD SAINT DENIS  92415 COURBEVOIE CEDEX </t>
  </si>
  <si>
    <t xml:space="preserve"> RTE DE BOUCHEMAINE BP 89 49130 STE GEMMES SUR LOIRE </t>
  </si>
  <si>
    <t xml:space="preserve">8 R DE LA GIROUARDIERE BP 24 49150 BAUGE EN ANJOU </t>
  </si>
  <si>
    <t xml:space="preserve"> RTE DE SEGRE  49420 POUANCE </t>
  </si>
  <si>
    <t xml:space="preserve">15 R DU LANDREAU  49070 BEAUCOUZE </t>
  </si>
  <si>
    <t xml:space="preserve">5 R FERNAND FOREST  49000 ANGERS </t>
  </si>
  <si>
    <t xml:space="preserve">1 R DES RECOLLETS BP 99 49700 DOUE LA FONTAINE </t>
  </si>
  <si>
    <t xml:space="preserve">46 RTE DU PLESSIS GRAMMOIRE BP 20104 49182 ST BARTHELEMY D ANJOU CEDE </t>
  </si>
  <si>
    <t xml:space="preserve">67 R DES PONTS DE CÉ  49028 ANGERS CEDEX 01 </t>
  </si>
  <si>
    <t xml:space="preserve">34 R DU HAUT CHENE  49000 ANGERS </t>
  </si>
  <si>
    <t xml:space="preserve">   NUEIL-SUR-LAYON 49310 VIHIERS </t>
  </si>
  <si>
    <t xml:space="preserve">114 R DE LA CHALOUERE BP 3114 49017 ANGERS CEDEX 02 </t>
  </si>
  <si>
    <t xml:space="preserve">126 R ST LEONARD BP 71857 49018 ANGERS CEDEX 01 </t>
  </si>
  <si>
    <t xml:space="preserve"> RTE DE CHALONNES BP 45 49120 CHEMILLE MELAY </t>
  </si>
  <si>
    <t xml:space="preserve"> ZA LES SOURCES BP 41 49120 CHEMILLE MELAY </t>
  </si>
  <si>
    <t xml:space="preserve">70 R DES BONNELLES  49000 ANGERS </t>
  </si>
  <si>
    <t xml:space="preserve">5 R DES CHESNAIES  49100 ANGERS </t>
  </si>
  <si>
    <t xml:space="preserve"> R DES RUISSEAUX  49300 CHOLET </t>
  </si>
  <si>
    <t xml:space="preserve">1 SQ ST BRIAC  49300 CHOLET </t>
  </si>
  <si>
    <t xml:space="preserve"> ZA DE LA MAISON NEUVE BP 5 49520 NOYANT LA GRAVOYERE </t>
  </si>
  <si>
    <t xml:space="preserve">26 R DE LA GIBAUDIERE  49124 ST BARTHELEMY D ANJOU </t>
  </si>
  <si>
    <t xml:space="preserve">58 R HAUTE DE RECULEE  49100 ANGERS </t>
  </si>
  <si>
    <t xml:space="preserve">11 R CHARLES DE GAULLE LE HAUT JONCHERAY 49330 CONTIGNE </t>
  </si>
  <si>
    <t xml:space="preserve">98 R DIDOT  75694 PARIS CEDEX 14 </t>
  </si>
  <si>
    <t xml:space="preserve">3 AV DE L'EUROPE  92300 LEVALLOIS PERRET </t>
  </si>
  <si>
    <t xml:space="preserve">22 R U BENOIST  53240 ANDOUILLE </t>
  </si>
  <si>
    <t xml:space="preserve">36 R ALBERT EINSTEIN BP 3901 53031 LAVAL CEDEX 9 </t>
  </si>
  <si>
    <t xml:space="preserve">48 RES DE LA FILOUSIERE BP 10411 53104 MAYENNE CEDEX </t>
  </si>
  <si>
    <t xml:space="preserve"> R DE NORMANDIE  53160 BAIS </t>
  </si>
  <si>
    <t xml:space="preserve">24 R ALBERT EINSTEIN BP 81435 53014 LAVAL CEDEX </t>
  </si>
  <si>
    <t xml:space="preserve">11 R D'ERNEE BP 7 53220 MONTAUDIN </t>
  </si>
  <si>
    <t xml:space="preserve">13 IMP ARMAND SAFFRAY  72000 LE MANS </t>
  </si>
  <si>
    <t xml:space="preserve">89 R DE NANTES  53000 LAVAL </t>
  </si>
  <si>
    <t xml:space="preserve">7 R NICOLAS-HARMAND  53000 LAVAL </t>
  </si>
  <si>
    <t xml:space="preserve">9 BD MAL LECLERC BP 0237 53602 EVRON CEDEX </t>
  </si>
  <si>
    <t xml:space="preserve">12 R DE LA GARE  53800 LA SELLE CRAONNAISE </t>
  </si>
  <si>
    <t xml:space="preserve">    53410 PORT BRILLET </t>
  </si>
  <si>
    <t xml:space="preserve">52 R DE BEAUGE BP 288 72006 LE MANS CEDEX 1 </t>
  </si>
  <si>
    <t xml:space="preserve">14 R SCANDICCI  93508 PANTIN CEDEX </t>
  </si>
  <si>
    <t xml:space="preserve">   CHATEAU DE FONTENAILLES 37370 LOUESTAULT </t>
  </si>
  <si>
    <t xml:space="preserve">20 AV DU 19 MARS 1962 BP 50004 72700 ALLONNES </t>
  </si>
  <si>
    <t xml:space="preserve">2 R DE LA PERRINE  72120 ST CALAIS </t>
  </si>
  <si>
    <t xml:space="preserve">1 BD DE MAULE  72650 ST SATURNIN </t>
  </si>
  <si>
    <t xml:space="preserve">88 R DE LA MAGDELEINE BP 112 72203 LA FLECHE CEDEX </t>
  </si>
  <si>
    <t xml:space="preserve">56 AV PIERRE BRULE BP 13 72401 LA FERTE BERNARD CEDEX </t>
  </si>
  <si>
    <t xml:space="preserve"> RTE DE RÉVEILLON BP21 72470 CHAMPAGNE </t>
  </si>
  <si>
    <t xml:space="preserve">92 R MOLIERE  72000 LE MANS </t>
  </si>
  <si>
    <t xml:space="preserve">13 R TORCE  72000 LE MANS </t>
  </si>
  <si>
    <t xml:space="preserve">27 R DE DURTAL  72300 PRECIGNE </t>
  </si>
  <si>
    <t xml:space="preserve">194 AV RUBILLARD  72000 LE MANS </t>
  </si>
  <si>
    <t xml:space="preserve">221 R DE LA BERTINIERE  72100 LE MANS </t>
  </si>
  <si>
    <t xml:space="preserve">117 R ST NICOLAS  72300 SABLE SUR SARTHE </t>
  </si>
  <si>
    <t xml:space="preserve">21 R ALBERT EINSTEIN  72650 LA CHAPELLE ST AUBIN </t>
  </si>
  <si>
    <t xml:space="preserve">19 R DE LA CALANDRE  72021 LE MANS CEDEX 2 </t>
  </si>
  <si>
    <t xml:space="preserve">1 R DU DOCTEUR GEORGES COULON BP 14 72150 LE GRAND LUCE </t>
  </si>
  <si>
    <t xml:space="preserve">  LA CHASSE DU POINT DU JOUR BP 10129 LE BAILLEUL 72205 LA FLECHE CEDEX </t>
  </si>
  <si>
    <t xml:space="preserve">72 R ORFILA  75020 PARIS </t>
  </si>
  <si>
    <t xml:space="preserve">199 R COLBERT B. P  72 59003 LILLE CEDEX </t>
  </si>
  <si>
    <t xml:space="preserve">4 R JACQUES MONOD CS 20393 OLONNE SUR MER 85109 LES SABLES D OLONNE CEDEX </t>
  </si>
  <si>
    <t xml:space="preserve"> RTE D'AUBIGNY  85026 LA ROCHE SUR YON CEDEX </t>
  </si>
  <si>
    <t xml:space="preserve"> R JOSEPH MONNIER  85220 COEX </t>
  </si>
  <si>
    <t xml:space="preserve">10 ALL HENRY SIMON BP 435 85304 CHALLANS CEDEX </t>
  </si>
  <si>
    <t xml:space="preserve"> RTE DE MOUILLERON CS 30359 85009 LA ROCHE SUR YON CEDEX </t>
  </si>
  <si>
    <t xml:space="preserve">8 R DES ELOUX  85740 L EPINE </t>
  </si>
  <si>
    <t xml:space="preserve">47 R DE ST JEAN DE MONTS BP 17 85690 NOTRE DAME DE MONTS </t>
  </si>
  <si>
    <t xml:space="preserve"> R DU PAYS DE RETZ  85230 BOUIN </t>
  </si>
  <si>
    <t xml:space="preserve">14 RTE DE POITIERS BP 39 85290 MORTAGNE SUR SEVRE </t>
  </si>
  <si>
    <t xml:space="preserve"> BD STEPHANE MOREAU  85000 LA ROCHE SUR YON </t>
  </si>
  <si>
    <t xml:space="preserve">9 AV DU MARECHAL LECLERC  85120 LA CHATAIGNERAIE </t>
  </si>
  <si>
    <t xml:space="preserve">1 ALL DU PARADIS  93240 STAINS </t>
  </si>
  <si>
    <t xml:space="preserve"> R DE CHATEAUBRIANT  85110 ST GERMAIN DE PRINCAY </t>
  </si>
  <si>
    <t>165 - Appartement de Coordination Thérapeutique (ACT)</t>
  </si>
  <si>
    <t>178 - Centre d'Accueil et Accompagnement à la Réduction des risques pour Usagers de Drogue (CAARUD)</t>
  </si>
  <si>
    <t>180 - Lits Halte Soins Santé (LHSS)</t>
  </si>
  <si>
    <t>189 - Centre médico-psycho-pédagogique (CMPP)</t>
  </si>
  <si>
    <t>190 - Centre d'action médico-sociale précoce (CAMSP)</t>
  </si>
  <si>
    <t>197 - Centre de Soin d'Accompagnement et de Prévention en Addictologie (CSAPA)</t>
  </si>
  <si>
    <t>ARPEP DES PAYS DE LOIRE</t>
  </si>
  <si>
    <t>CMPP ARPEP ANTENNE</t>
  </si>
  <si>
    <t>16 MLN DE LES OCEANIDES  44310 ST PHILBERT DE GRAND LIEU</t>
  </si>
  <si>
    <t>IME LES OCEANIDES</t>
  </si>
  <si>
    <t>SESSAD LES VENTS D'OUEST</t>
  </si>
  <si>
    <t>MAS SIMONE VEIL</t>
  </si>
  <si>
    <t>FINESS</t>
  </si>
  <si>
    <t>Nom Etablissement/Service</t>
  </si>
  <si>
    <t>LES APSYADES</t>
  </si>
  <si>
    <t>CSAPA APSYADES</t>
  </si>
  <si>
    <t>CHU NANTES</t>
  </si>
  <si>
    <t>CSAPA Maison d'arrêt de Nantes</t>
  </si>
  <si>
    <t>OPPELIA</t>
  </si>
  <si>
    <t>CSAPA LA ROSE DES VENTS</t>
  </si>
  <si>
    <t xml:space="preserve">CSAPA LE TRIANGLE </t>
  </si>
  <si>
    <t>ALIA</t>
  </si>
  <si>
    <t>CSAPA 49</t>
  </si>
  <si>
    <t>CH LAVAL</t>
  </si>
  <si>
    <r>
      <t xml:space="preserve">CSAPA </t>
    </r>
    <r>
      <rPr>
        <b/>
        <sz val="8"/>
        <rFont val="Arial"/>
        <family val="2"/>
      </rPr>
      <t>53</t>
    </r>
  </si>
  <si>
    <t>AHSS</t>
  </si>
  <si>
    <t>CSAPA  Molière</t>
  </si>
  <si>
    <t>MONTJOIE</t>
  </si>
  <si>
    <t>ANPAA</t>
  </si>
  <si>
    <t>CSAPA ANPAA 85</t>
  </si>
  <si>
    <t>EVEA</t>
  </si>
  <si>
    <t>CSAPA LA METAIRIE</t>
  </si>
  <si>
    <t>CAARUD L'ACOTHE (LE TRIANGLE)</t>
  </si>
  <si>
    <t>CAARUD LA ROSE DES VENTS</t>
  </si>
  <si>
    <t>CAARUD 49</t>
  </si>
  <si>
    <t>AIDES</t>
  </si>
  <si>
    <t xml:space="preserve">CAARUD 53 </t>
  </si>
  <si>
    <t>CAARUD Artox</t>
  </si>
  <si>
    <t>CAARUD 85</t>
  </si>
  <si>
    <t>AURORE</t>
  </si>
  <si>
    <t>ACT ENTRACT</t>
  </si>
  <si>
    <t>ACT LOGIS 44</t>
  </si>
  <si>
    <t>ACT LOGIS MONTJOIE 49</t>
  </si>
  <si>
    <t>LES 2 RIVES</t>
  </si>
  <si>
    <t>ACT DES 2 RIVES</t>
  </si>
  <si>
    <t>ACT MONTJOIE</t>
  </si>
  <si>
    <t>PASSERELLES</t>
  </si>
  <si>
    <t>ACT PASSERELLES</t>
  </si>
  <si>
    <t>ST BENOIT LABRE</t>
  </si>
  <si>
    <t>LHSS ATRE</t>
  </si>
  <si>
    <t>ANEF FERRER</t>
  </si>
  <si>
    <t>LHSS ANEF-FERRER</t>
  </si>
  <si>
    <t>TARMAC</t>
  </si>
  <si>
    <t>LHSS ACCUEIL CENOMAN</t>
  </si>
  <si>
    <t>LHSS PASSERELLES</t>
  </si>
  <si>
    <t xml:space="preserve">LAM </t>
  </si>
  <si>
    <t>14 Aire Scandicci 93 508 PANTIN cedex</t>
  </si>
  <si>
    <t>92-94 rue de Moliere 72 000 LE MANS</t>
  </si>
  <si>
    <t>8 rue Landemaure 49 000 ANGERS</t>
  </si>
  <si>
    <t>11 bis Bd des Martyrs Nantais 44 200 NANTES</t>
  </si>
  <si>
    <t>5 impasse du Petit Rocher 44 344 BOUGUENAIS</t>
  </si>
  <si>
    <t>33 rue du Haut Rocher BP 1525 53 015 LAVAL</t>
  </si>
  <si>
    <t>5 bis allée de l'ile Gloriette 44 000 NANTES</t>
  </si>
  <si>
    <t>2 rue Victor Hugo BP 113 85 003 LA ROCHE SUR YON</t>
  </si>
  <si>
    <t>20 avenue Daumesnil 75 012 PARIS</t>
  </si>
  <si>
    <t>21 avenue Daumesnil 75 012 PARIS</t>
  </si>
  <si>
    <t>75 bd Lamartine 72 000 LE MANS</t>
  </si>
  <si>
    <t>79 rue Sadi Carnot 85 000LA ROCHE SUR YON</t>
  </si>
  <si>
    <t>143 route de Coulaines 72 190 SARGE LES LE MANS</t>
  </si>
  <si>
    <t>21 bd Réaumur  85 000 LA ROCHE SUR YON</t>
  </si>
  <si>
    <t>20 rue Saint Fiacre 75 002 PARIS</t>
  </si>
  <si>
    <t>34 Bd Sebastopol 75 004 PARIS</t>
  </si>
  <si>
    <t>44 bd des Tisserands BP 31 421 53 014 LAVAL cedex</t>
  </si>
  <si>
    <t>La ville au Blanc 3 allée du Cap Horn 44 150 VERTOU</t>
  </si>
  <si>
    <t xml:space="preserve"> CSAPA hébergement (Communauté Thérapeutique)</t>
  </si>
  <si>
    <t>rue de la Mainguais cedex 1 44 093 NANTES</t>
  </si>
  <si>
    <t>32 rue Roger Salengro 44 600 SAINT NAZAIRE</t>
  </si>
  <si>
    <t>18 rue de Bouillé 44 000 NANTES</t>
  </si>
  <si>
    <t>31 rue du mans 53 000 LAVAL</t>
  </si>
  <si>
    <t>66 bis rue de Belfort 72 000 LE MANS</t>
  </si>
  <si>
    <t>ZA les Avaloirs Le Grand Pré Davert 53 140 PRE EN PAIL</t>
  </si>
  <si>
    <t>CSAPA</t>
  </si>
  <si>
    <t>2-4 rue du Maréchal Juin 85 000 LA ROCHES SUR YON</t>
  </si>
  <si>
    <t>1 bis rue de Launay 44 000 NANTES</t>
  </si>
  <si>
    <t>23 rue Marceau 49 000 ANGERS</t>
  </si>
  <si>
    <t>42 rue Noémie Hamard 53 000 LAVAL</t>
  </si>
  <si>
    <t>7 rue de la crochardière 72 000 LE MANS</t>
  </si>
  <si>
    <t>21 rue des Primevères 85 000 LA ROCHES SUR YON</t>
  </si>
  <si>
    <t>29 rue de l'Indre 44 000 NANTES</t>
  </si>
  <si>
    <t>214 bd Robert Shuman 44 000 NANTES</t>
  </si>
  <si>
    <t>227 bd de la petite vitesse 72 100 LE MANS</t>
  </si>
  <si>
    <t>116 rue de Trignac 44 600 SAINT NAZAIRE</t>
  </si>
  <si>
    <t>Version 14.1</t>
  </si>
  <si>
    <r>
      <t xml:space="preserve">AutoDiagFi-ESMS
</t>
    </r>
    <r>
      <rPr>
        <sz val="13"/>
        <color rgb="FF005577"/>
        <rFont val="Century Gothic"/>
        <family val="2"/>
      </rPr>
      <t>Outil</t>
    </r>
    <r>
      <rPr>
        <b/>
        <sz val="13"/>
        <color rgb="FF005577"/>
        <rFont val="Century Gothic"/>
        <family val="2"/>
      </rPr>
      <t xml:space="preserve"> </t>
    </r>
    <r>
      <rPr>
        <sz val="13"/>
        <color rgb="FF005577"/>
        <rFont val="Century Gothic"/>
        <family val="2"/>
      </rPr>
      <t>d'</t>
    </r>
    <r>
      <rPr>
        <b/>
        <sz val="13"/>
        <color rgb="FF005577"/>
        <rFont val="Century Gothic"/>
        <family val="2"/>
      </rPr>
      <t>Auto</t>
    </r>
    <r>
      <rPr>
        <sz val="13"/>
        <color rgb="FF005577"/>
        <rFont val="Century Gothic"/>
        <family val="2"/>
      </rPr>
      <t>-</t>
    </r>
    <r>
      <rPr>
        <b/>
        <sz val="13"/>
        <color rgb="FF005577"/>
        <rFont val="Century Gothic"/>
        <family val="2"/>
      </rPr>
      <t>Diag</t>
    </r>
    <r>
      <rPr>
        <sz val="13"/>
        <color rgb="FF005577"/>
        <rFont val="Century Gothic"/>
        <family val="2"/>
      </rPr>
      <t>nostic</t>
    </r>
    <r>
      <rPr>
        <b/>
        <sz val="13"/>
        <color rgb="FF005577"/>
        <rFont val="Century Gothic"/>
        <family val="2"/>
      </rPr>
      <t xml:space="preserve"> Fi</t>
    </r>
    <r>
      <rPr>
        <sz val="13"/>
        <color rgb="FF005577"/>
        <rFont val="Century Gothic"/>
        <family val="2"/>
      </rPr>
      <t>nancier pour les</t>
    </r>
    <r>
      <rPr>
        <b/>
        <sz val="13"/>
        <color rgb="FF005577"/>
        <rFont val="Century Gothic"/>
        <family val="2"/>
      </rPr>
      <t xml:space="preserve"> E</t>
    </r>
    <r>
      <rPr>
        <sz val="13"/>
        <color rgb="FF005577"/>
        <rFont val="Century Gothic"/>
        <family val="2"/>
      </rPr>
      <t xml:space="preserve">tablissements et </t>
    </r>
    <r>
      <rPr>
        <b/>
        <sz val="13"/>
        <color rgb="FF005577"/>
        <rFont val="Century Gothic"/>
        <family val="2"/>
      </rPr>
      <t>S</t>
    </r>
    <r>
      <rPr>
        <sz val="13"/>
        <color rgb="FF005577"/>
        <rFont val="Century Gothic"/>
        <family val="2"/>
      </rPr>
      <t>ervices</t>
    </r>
    <r>
      <rPr>
        <b/>
        <sz val="13"/>
        <color rgb="FF005577"/>
        <rFont val="Century Gothic"/>
        <family val="2"/>
      </rPr>
      <t xml:space="preserve"> M</t>
    </r>
    <r>
      <rPr>
        <sz val="13"/>
        <color rgb="FF005577"/>
        <rFont val="Century Gothic"/>
        <family val="2"/>
      </rPr>
      <t>édico-</t>
    </r>
    <r>
      <rPr>
        <b/>
        <sz val="13"/>
        <color rgb="FF005577"/>
        <rFont val="Century Gothic"/>
        <family val="2"/>
      </rPr>
      <t>S</t>
    </r>
    <r>
      <rPr>
        <sz val="13"/>
        <color rgb="FF005577"/>
        <rFont val="Century Gothic"/>
        <family val="2"/>
      </rPr>
      <t>ociaux des Pays-de-la-Loire</t>
    </r>
  </si>
  <si>
    <r>
      <rPr>
        <b/>
        <u/>
        <sz val="9"/>
        <color rgb="FF00B9A5"/>
        <rFont val="Century Gothic"/>
        <family val="2"/>
      </rPr>
      <t>Analyses proposées</t>
    </r>
    <r>
      <rPr>
        <b/>
        <sz val="9"/>
        <color rgb="FF00B9A5"/>
        <rFont val="Century Gothic"/>
        <family val="2"/>
      </rPr>
      <t xml:space="preserve"> :</t>
    </r>
    <r>
      <rPr>
        <b/>
        <sz val="9"/>
        <color indexed="17"/>
        <rFont val="Century Gothic"/>
        <family val="2"/>
      </rPr>
      <t xml:space="preserve">
</t>
    </r>
    <r>
      <rPr>
        <sz val="9"/>
        <rFont val="Century Gothic"/>
        <family val="2"/>
      </rPr>
      <t xml:space="preserve">Une </t>
    </r>
    <r>
      <rPr>
        <u/>
        <sz val="9"/>
        <rFont val="Century Gothic"/>
        <family val="2"/>
      </rPr>
      <t>analyse complète</t>
    </r>
    <r>
      <rPr>
        <sz val="9"/>
        <rFont val="Century Gothic"/>
        <family val="2"/>
      </rPr>
      <t xml:space="preserve"> est proposée : </t>
    </r>
    <r>
      <rPr>
        <b/>
        <sz val="9"/>
        <rFont val="Century Gothic"/>
        <family val="2"/>
      </rPr>
      <t>analyse rétrospective</t>
    </r>
    <r>
      <rPr>
        <sz val="9"/>
        <rFont val="Century Gothic"/>
        <family val="2"/>
      </rPr>
      <t xml:space="preserve"> et </t>
    </r>
    <r>
      <rPr>
        <b/>
        <sz val="9"/>
        <rFont val="Century Gothic"/>
        <family val="2"/>
      </rPr>
      <t>analyse prospective</t>
    </r>
    <r>
      <rPr>
        <sz val="9"/>
        <rFont val="Century Gothic"/>
        <family val="2"/>
      </rPr>
      <t>.
L'</t>
    </r>
    <r>
      <rPr>
        <b/>
        <sz val="9"/>
        <color rgb="FF00B9A5"/>
        <rFont val="Century Gothic"/>
        <family val="2"/>
      </rPr>
      <t>analyse rétrospective</t>
    </r>
    <r>
      <rPr>
        <sz val="9"/>
        <rFont val="Century Gothic"/>
        <family val="2"/>
      </rPr>
      <t xml:space="preserve"> vous permet d'étudier, de comparer vos situations financières N-2, N-1 et N.
L'</t>
    </r>
    <r>
      <rPr>
        <b/>
        <sz val="9"/>
        <color rgb="FF00B9A5"/>
        <rFont val="Century Gothic"/>
        <family val="2"/>
      </rPr>
      <t>analyse prospective</t>
    </r>
    <r>
      <rPr>
        <sz val="9"/>
        <rFont val="Century Gothic"/>
        <family val="2"/>
      </rPr>
      <t xml:space="preserve"> vous permet de projeter votre situation sur les cinq prochaines années (N+1 à N+5).</t>
    </r>
  </si>
  <si>
    <r>
      <rPr>
        <sz val="11"/>
        <color rgb="FF00B9A5"/>
        <rFont val="Century Gothic"/>
        <family val="2"/>
      </rPr>
      <t>Analyse</t>
    </r>
    <r>
      <rPr>
        <b/>
        <sz val="11"/>
        <color rgb="FF00B9A5"/>
        <rFont val="Century Gothic"/>
        <family val="2"/>
      </rPr>
      <t xml:space="preserve"> rétrospective</t>
    </r>
  </si>
  <si>
    <r>
      <rPr>
        <sz val="11"/>
        <color rgb="FF00B9A5"/>
        <rFont val="Century Gothic"/>
        <family val="2"/>
      </rPr>
      <t>Analyse</t>
    </r>
    <r>
      <rPr>
        <b/>
        <sz val="11"/>
        <color rgb="FF00B9A5"/>
        <rFont val="Century Gothic"/>
        <family val="2"/>
      </rPr>
      <t xml:space="preserve"> prospective</t>
    </r>
  </si>
  <si>
    <r>
      <t xml:space="preserve">L'onglet </t>
    </r>
    <r>
      <rPr>
        <b/>
        <sz val="9"/>
        <color rgb="FF005577"/>
        <rFont val="Century Gothic"/>
        <family val="2"/>
      </rPr>
      <t>retour d'expérience</t>
    </r>
    <r>
      <rPr>
        <b/>
        <sz val="9"/>
        <rFont val="Century Gothic"/>
        <family val="2"/>
      </rPr>
      <t xml:space="preserve"> vous permet de nous donner votre avis sur l'outil, nous pourrons ainsi l'ajuster en fonction des propositions des ESMS.</t>
    </r>
  </si>
  <si>
    <r>
      <rPr>
        <b/>
        <sz val="11"/>
        <color rgb="FF005577"/>
        <rFont val="Century Gothic"/>
        <family val="2"/>
      </rPr>
      <t xml:space="preserve">Remboursement des emprunts </t>
    </r>
    <r>
      <rPr>
        <sz val="9"/>
        <color rgb="FF005577"/>
        <rFont val="Century Gothic"/>
        <family val="2"/>
      </rPr>
      <t>(</t>
    </r>
    <r>
      <rPr>
        <b/>
        <u/>
        <sz val="9"/>
        <color rgb="FF005577"/>
        <rFont val="Century Gothic"/>
        <family val="2"/>
      </rPr>
      <t>débit</t>
    </r>
    <r>
      <rPr>
        <sz val="9"/>
        <color rgb="FF005577"/>
        <rFont val="Century Gothic"/>
        <family val="2"/>
      </rPr>
      <t xml:space="preserve"> du compte 1641)</t>
    </r>
  </si>
  <si>
    <t>7087 Remboursement de frais par les budgets annexes</t>
  </si>
  <si>
    <r>
      <t xml:space="preserve">Fonds de roulement d'investissement </t>
    </r>
    <r>
      <rPr>
        <sz val="10"/>
        <color rgb="FF005577"/>
        <rFont val="Century Gothic"/>
        <family val="2"/>
      </rPr>
      <t>(FRI)</t>
    </r>
  </si>
  <si>
    <r>
      <t xml:space="preserve">Fonds de roulement d'exploitation </t>
    </r>
    <r>
      <rPr>
        <sz val="10"/>
        <color rgb="FF005577"/>
        <rFont val="Century Gothic"/>
        <family val="2"/>
      </rPr>
      <t>(FRE)</t>
    </r>
  </si>
  <si>
    <r>
      <rPr>
        <b/>
        <sz val="9"/>
        <color rgb="FF005577"/>
        <rFont val="Century Gothic"/>
        <family val="2"/>
      </rPr>
      <t>3,33</t>
    </r>
    <r>
      <rPr>
        <sz val="9"/>
        <color rgb="FF005577"/>
        <rFont val="Century Gothic"/>
        <family val="2"/>
      </rPr>
      <t xml:space="preserve"> (30 ans) à </t>
    </r>
    <r>
      <rPr>
        <b/>
        <sz val="9"/>
        <color rgb="FF005577"/>
        <rFont val="Century Gothic"/>
        <family val="2"/>
      </rPr>
      <t xml:space="preserve">5% </t>
    </r>
    <r>
      <rPr>
        <sz val="9"/>
        <color rgb="FF005577"/>
        <rFont val="Century Gothic"/>
        <family val="2"/>
      </rPr>
      <t>(20 ans)</t>
    </r>
  </si>
  <si>
    <r>
      <rPr>
        <i/>
        <u/>
        <sz val="9"/>
        <color rgb="FF007E7E"/>
        <rFont val="Century Gothic"/>
        <family val="2"/>
      </rPr>
      <t>dont</t>
    </r>
    <r>
      <rPr>
        <i/>
        <sz val="9"/>
        <color rgb="FF007E7E"/>
        <rFont val="Century Gothic"/>
        <family val="2"/>
      </rPr>
      <t xml:space="preserve"> économies envisagées</t>
    </r>
  </si>
  <si>
    <r>
      <rPr>
        <i/>
        <u/>
        <sz val="9"/>
        <color rgb="FF007E7E"/>
        <rFont val="Century Gothic"/>
        <family val="2"/>
      </rPr>
      <t>dont</t>
    </r>
    <r>
      <rPr>
        <i/>
        <sz val="9"/>
        <color rgb="FF007E7E"/>
        <rFont val="Century Gothic"/>
        <family val="2"/>
      </rPr>
      <t xml:space="preserve"> gains envisagés</t>
    </r>
  </si>
  <si>
    <r>
      <rPr>
        <i/>
        <u/>
        <sz val="10"/>
        <color rgb="FF007E7E"/>
        <rFont val="Century Gothic"/>
        <family val="2"/>
      </rPr>
      <t>dont</t>
    </r>
    <r>
      <rPr>
        <i/>
        <sz val="10"/>
        <color rgb="FF007E7E"/>
        <rFont val="Century Gothic"/>
        <family val="2"/>
      </rPr>
      <t xml:space="preserve"> économies envisagées</t>
    </r>
  </si>
  <si>
    <r>
      <t xml:space="preserve">Groupe 3 : </t>
    </r>
    <r>
      <rPr>
        <b/>
        <i/>
        <sz val="10"/>
        <color indexed="8"/>
        <rFont val="Century Gothic"/>
        <family val="2"/>
      </rPr>
      <t>Produits financiers</t>
    </r>
  </si>
  <si>
    <r>
      <t xml:space="preserve">Groupe 2 : </t>
    </r>
    <r>
      <rPr>
        <b/>
        <i/>
        <sz val="10"/>
        <color indexed="8"/>
        <rFont val="Century Gothic"/>
        <family val="2"/>
      </rPr>
      <t>Autres produits</t>
    </r>
  </si>
  <si>
    <r>
      <t xml:space="preserve">Groupe 1: </t>
    </r>
    <r>
      <rPr>
        <b/>
        <i/>
        <sz val="10"/>
        <color indexed="8"/>
        <rFont val="Century Gothic"/>
        <family val="2"/>
      </rPr>
      <t>Produits de la tarification</t>
    </r>
  </si>
  <si>
    <r>
      <t xml:space="preserve">Groupe 1 : </t>
    </r>
    <r>
      <rPr>
        <b/>
        <i/>
        <sz val="10"/>
        <color indexed="8"/>
        <rFont val="Century Gothic"/>
        <family val="2"/>
      </rPr>
      <t>Dépenses afférentes à l'exploitation courante</t>
    </r>
  </si>
  <si>
    <r>
      <t xml:space="preserve">Groupe 2 : </t>
    </r>
    <r>
      <rPr>
        <b/>
        <i/>
        <sz val="10"/>
        <color indexed="8"/>
        <rFont val="Century Gothic"/>
        <family val="2"/>
      </rPr>
      <t>Dépenses afférentes au personnel</t>
    </r>
  </si>
  <si>
    <r>
      <t xml:space="preserve">Groupe 3 : </t>
    </r>
    <r>
      <rPr>
        <b/>
        <i/>
        <sz val="10"/>
        <color indexed="8"/>
        <rFont val="Century Gothic"/>
        <family val="2"/>
      </rPr>
      <t>Dépenses afférentes à la structure</t>
    </r>
  </si>
  <si>
    <r>
      <t>Surcoûts liés aux amortissements =</t>
    </r>
    <r>
      <rPr>
        <sz val="9"/>
        <color theme="0"/>
        <rFont val="Century Gothic"/>
        <family val="2"/>
      </rPr>
      <t xml:space="preserve"> A - (a)  </t>
    </r>
  </si>
  <si>
    <r>
      <t xml:space="preserve">Surcoûts liés aux frais financiers =  </t>
    </r>
    <r>
      <rPr>
        <sz val="9"/>
        <color theme="0"/>
        <rFont val="Century Gothic"/>
        <family val="2"/>
      </rPr>
      <t>B -</t>
    </r>
    <r>
      <rPr>
        <b/>
        <sz val="9"/>
        <color theme="0"/>
        <rFont val="Century Gothic"/>
        <family val="2"/>
      </rPr>
      <t xml:space="preserve"> </t>
    </r>
    <r>
      <rPr>
        <sz val="9"/>
        <color theme="0"/>
        <rFont val="Century Gothic"/>
        <family val="2"/>
      </rPr>
      <t>(b)</t>
    </r>
    <r>
      <rPr>
        <i/>
        <sz val="9"/>
        <color theme="0"/>
        <rFont val="Century Gothic"/>
        <family val="2"/>
      </rPr>
      <t xml:space="preserve"> </t>
    </r>
  </si>
  <si>
    <r>
      <t xml:space="preserve">Répartition des dépenses et recettes </t>
    </r>
    <r>
      <rPr>
        <b/>
        <u/>
        <sz val="11"/>
        <color indexed="23"/>
        <rFont val="Century Gothic"/>
        <family val="2"/>
      </rPr>
      <t>par groupe</t>
    </r>
    <r>
      <rPr>
        <b/>
        <sz val="11"/>
        <color indexed="8"/>
        <rFont val="Century Gothic"/>
        <family val="2"/>
      </rPr>
      <t xml:space="preserve"> </t>
    </r>
    <r>
      <rPr>
        <b/>
        <sz val="11"/>
        <color indexed="8"/>
        <rFont val="Century Gothic"/>
        <family val="2"/>
      </rPr>
      <t xml:space="preserve">de la M22 </t>
    </r>
    <r>
      <rPr>
        <sz val="11"/>
        <color indexed="23"/>
        <rFont val="Century Gothic"/>
        <family val="2"/>
      </rPr>
      <t>(%)</t>
    </r>
  </si>
  <si>
    <r>
      <rPr>
        <sz val="8"/>
        <rFont val="Century Gothic"/>
        <family val="2"/>
      </rPr>
      <t>Groupe I</t>
    </r>
    <r>
      <rPr>
        <sz val="8"/>
        <color indexed="23"/>
        <rFont val="Century Gothic"/>
        <family val="2"/>
      </rPr>
      <t xml:space="preserve"> </t>
    </r>
    <r>
      <rPr>
        <b/>
        <sz val="8"/>
        <color indexed="23"/>
        <rFont val="Century Gothic"/>
        <family val="2"/>
      </rPr>
      <t>: Dépenses afférentes à l'exploitation courante</t>
    </r>
  </si>
  <si>
    <r>
      <rPr>
        <sz val="8"/>
        <rFont val="Century Gothic"/>
        <family val="2"/>
      </rPr>
      <t xml:space="preserve">Groupe II </t>
    </r>
    <r>
      <rPr>
        <b/>
        <sz val="8"/>
        <color indexed="23"/>
        <rFont val="Century Gothic"/>
        <family val="2"/>
      </rPr>
      <t>: Dépenses afférentes au personnel</t>
    </r>
  </si>
  <si>
    <r>
      <rPr>
        <sz val="8"/>
        <rFont val="Century Gothic"/>
        <family val="2"/>
      </rPr>
      <t>Groupe III</t>
    </r>
    <r>
      <rPr>
        <b/>
        <sz val="8"/>
        <color indexed="23"/>
        <rFont val="Century Gothic"/>
        <family val="2"/>
      </rPr>
      <t xml:space="preserve"> : Dépenses afférentes à la structure</t>
    </r>
  </si>
  <si>
    <r>
      <rPr>
        <sz val="8"/>
        <rFont val="Century Gothic"/>
        <family val="2"/>
      </rPr>
      <t>Groupe I</t>
    </r>
    <r>
      <rPr>
        <b/>
        <sz val="8"/>
        <color indexed="23"/>
        <rFont val="Century Gothic"/>
        <family val="2"/>
      </rPr>
      <t xml:space="preserve"> : Produits de la tarification</t>
    </r>
  </si>
  <si>
    <r>
      <rPr>
        <sz val="8"/>
        <rFont val="Century Gothic"/>
        <family val="2"/>
      </rPr>
      <t>Groupe II</t>
    </r>
    <r>
      <rPr>
        <b/>
        <sz val="8"/>
        <color indexed="23"/>
        <rFont val="Century Gothic"/>
        <family val="2"/>
      </rPr>
      <t xml:space="preserve"> : Autres produits relatifs à l'exploitation</t>
    </r>
  </si>
  <si>
    <r>
      <rPr>
        <sz val="8"/>
        <rFont val="Century Gothic"/>
        <family val="2"/>
      </rPr>
      <t>Groupe III</t>
    </r>
    <r>
      <rPr>
        <b/>
        <sz val="8"/>
        <color indexed="23"/>
        <rFont val="Century Gothic"/>
        <family val="2"/>
      </rPr>
      <t xml:space="preserve"> : Produits financiers, produits exceptionnels et produits non encaissables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</si>
</sst>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0\ &quot;€&quot;;\-#,##0\ &quot;€&quot;"/>
    <numFmt numFmtId="44" formatCode="_-* #,##0.00\ &quot;€&quot;_-;\-* #,##0.00\ &quot;€&quot;_-;_-* &quot;-&quot;??\ &quot;€&quot;_-;_-@_-"/>
    <numFmt numFmtId="43" formatCode="_-* #,##0.00\ _€_-;\-* #,##0.00\ _€_-;_-* &quot;-&quot;??\ _€_-;_-@_-"/>
    <numFmt numFmtId="164" formatCode="_-* #,##0.00\ &quot;F&quot;_-;\-* #,##0.00\ &quot;F&quot;_-;_-* &quot;-&quot;??\ &quot;F&quot;_-;_-@_-"/>
    <numFmt numFmtId="165" formatCode="#,##0.00\ &quot;€&quot;"/>
    <numFmt numFmtId="166" formatCode="#,##0_ ;[Red]\-#,##0\ "/>
    <numFmt numFmtId="167" formatCode="0.00_ ;[Red]\-0.00\ "/>
    <numFmt numFmtId="168" formatCode="#,##0\ &quot;€&quot;"/>
    <numFmt numFmtId="169" formatCode="#,##0\ _€"/>
    <numFmt numFmtId="170" formatCode="#,##0.00_ ;\-#,##0.00\ "/>
    <numFmt numFmtId="171" formatCode="@*."/>
    <numFmt numFmtId="172" formatCode="#,##0_ ;\-#,##0\ "/>
    <numFmt numFmtId="173" formatCode="_-* #,##0.00\ [$€-1]_-;\-* #,##0.00\ [$€-1]_-;_-* &quot;-&quot;??\ [$€-1]_-"/>
    <numFmt numFmtId="174" formatCode="_-* #,##0.00_ _F_-;\-* #,##0.00_ _F_-;_-* &quot;-&quot;??_ _F_-;_-@_-"/>
    <numFmt numFmtId="175" formatCode="0#&quot; &quot;##&quot; &quot;##&quot; &quot;##&quot; &quot;##"/>
    <numFmt numFmtId="176" formatCode="_(&quot;$&quot;* #,##0.00_);_(&quot;$&quot;* \(#,##0.00\);_(&quot;$&quot;* &quot;-&quot;??_);_(@_)"/>
    <numFmt numFmtId="177" formatCode="_(* #,##0.00_);_(* \(#,##0.00\);_(* &quot;-&quot;??_);_(@_)"/>
  </numFmts>
  <fonts count="319">
    <font>
      <sz val="11"/>
      <color theme="1"/>
      <name val="Calibri"/>
      <family val="2"/>
      <scheme val="minor"/>
    </font>
    <font>
      <sz val="10"/>
      <name val="Arial"/>
      <family val="2"/>
    </font>
    <font>
      <sz val="9"/>
      <name val="Arial"/>
      <family val="2"/>
    </font>
    <font>
      <sz val="10"/>
      <color indexed="8"/>
      <name val="Calibri"/>
      <family val="2"/>
    </font>
    <font>
      <i/>
      <sz val="10"/>
      <color indexed="8"/>
      <name val="Calibri"/>
      <family val="2"/>
    </font>
    <font>
      <sz val="10"/>
      <color indexed="10"/>
      <name val="Calibri"/>
      <family val="2"/>
    </font>
    <font>
      <u/>
      <sz val="10"/>
      <color indexed="8"/>
      <name val="Calibri"/>
      <family val="2"/>
    </font>
    <font>
      <b/>
      <sz val="10"/>
      <color indexed="8"/>
      <name val="Calibri"/>
      <family val="2"/>
    </font>
    <font>
      <b/>
      <u/>
      <sz val="10"/>
      <color indexed="8"/>
      <name val="Calibri"/>
      <family val="2"/>
    </font>
    <font>
      <b/>
      <i/>
      <u val="double"/>
      <sz val="10"/>
      <color indexed="8"/>
      <name val="Calibri"/>
      <family val="2"/>
    </font>
    <font>
      <sz val="11"/>
      <color indexed="8"/>
      <name val="Century Gothic"/>
      <family val="2"/>
    </font>
    <font>
      <sz val="10"/>
      <color indexed="8"/>
      <name val="Century Gothic"/>
      <family val="2"/>
    </font>
    <font>
      <sz val="12"/>
      <color indexed="8"/>
      <name val="Century Gothic"/>
      <family val="2"/>
    </font>
    <font>
      <sz val="10"/>
      <name val="Century Gothic"/>
      <family val="2"/>
    </font>
    <font>
      <b/>
      <sz val="12"/>
      <color indexed="8"/>
      <name val="Century Gothic"/>
      <family val="2"/>
    </font>
    <font>
      <sz val="9"/>
      <name val="Century Gothic"/>
      <family val="2"/>
    </font>
    <font>
      <sz val="9"/>
      <color indexed="8"/>
      <name val="Century Gothic"/>
      <family val="2"/>
    </font>
    <font>
      <i/>
      <sz val="9"/>
      <name val="Century Gothic"/>
      <family val="2"/>
    </font>
    <font>
      <i/>
      <sz val="9"/>
      <color indexed="8"/>
      <name val="Century Gothic"/>
      <family val="2"/>
    </font>
    <font>
      <b/>
      <sz val="9"/>
      <name val="Century Gothic"/>
      <family val="2"/>
    </font>
    <font>
      <b/>
      <i/>
      <sz val="11"/>
      <name val="Century Gothic"/>
      <family val="2"/>
    </font>
    <font>
      <b/>
      <sz val="9"/>
      <color indexed="8"/>
      <name val="Century Gothic"/>
      <family val="2"/>
    </font>
    <font>
      <b/>
      <sz val="11"/>
      <name val="Century Gothic"/>
      <family val="2"/>
    </font>
    <font>
      <b/>
      <i/>
      <sz val="9"/>
      <color indexed="30"/>
      <name val="Century Gothic"/>
      <family val="2"/>
    </font>
    <font>
      <sz val="9"/>
      <color indexed="81"/>
      <name val="Tahoma"/>
      <family val="2"/>
    </font>
    <font>
      <b/>
      <sz val="8"/>
      <color indexed="81"/>
      <name val="Tahoma"/>
      <family val="2"/>
    </font>
    <font>
      <sz val="8"/>
      <color indexed="81"/>
      <name val="Tahoma"/>
      <family val="2"/>
    </font>
    <font>
      <u/>
      <sz val="8"/>
      <color indexed="81"/>
      <name val="Tahoma"/>
      <family val="2"/>
    </font>
    <font>
      <i/>
      <sz val="8"/>
      <color indexed="8"/>
      <name val="Century Gothic"/>
      <family val="2"/>
    </font>
    <font>
      <b/>
      <sz val="10"/>
      <color indexed="8"/>
      <name val="Century Gothic"/>
      <family val="2"/>
    </font>
    <font>
      <sz val="10"/>
      <color indexed="30"/>
      <name val="Century Gothic"/>
      <family val="2"/>
    </font>
    <font>
      <u/>
      <sz val="10"/>
      <color indexed="30"/>
      <name val="Century Gothic"/>
      <family val="2"/>
    </font>
    <font>
      <b/>
      <u/>
      <sz val="9"/>
      <color indexed="8"/>
      <name val="Century Gothic"/>
      <family val="2"/>
    </font>
    <font>
      <i/>
      <u/>
      <sz val="9"/>
      <color indexed="8"/>
      <name val="Century Gothic"/>
      <family val="2"/>
    </font>
    <font>
      <sz val="9"/>
      <color indexed="10"/>
      <name val="Century Gothic"/>
      <family val="2"/>
    </font>
    <font>
      <b/>
      <sz val="18"/>
      <color indexed="62"/>
      <name val="Cambria"/>
      <family val="2"/>
    </font>
    <font>
      <u/>
      <sz val="9"/>
      <color indexed="8"/>
      <name val="Century Gothic"/>
      <family val="2"/>
    </font>
    <font>
      <u/>
      <sz val="9"/>
      <name val="Century Gothic"/>
      <family val="2"/>
    </font>
    <font>
      <b/>
      <u/>
      <sz val="9"/>
      <name val="Century Gothic"/>
      <family val="2"/>
    </font>
    <font>
      <sz val="12"/>
      <color indexed="30"/>
      <name val="Century Gothic"/>
      <family val="2"/>
    </font>
    <font>
      <u/>
      <sz val="9"/>
      <color indexed="10"/>
      <name val="Century Gothic"/>
      <family val="2"/>
    </font>
    <font>
      <b/>
      <sz val="9"/>
      <color indexed="10"/>
      <name val="Century Gothic"/>
      <family val="2"/>
    </font>
    <font>
      <sz val="9"/>
      <color indexed="8"/>
      <name val="Calibri"/>
      <family val="2"/>
    </font>
    <font>
      <b/>
      <sz val="8"/>
      <color indexed="17"/>
      <name val="Tahoma"/>
      <family val="2"/>
    </font>
    <font>
      <b/>
      <sz val="11"/>
      <color indexed="30"/>
      <name val="Century Gothic"/>
      <family val="2"/>
    </font>
    <font>
      <sz val="10"/>
      <color indexed="60"/>
      <name val="Century Gothic"/>
      <family val="2"/>
    </font>
    <font>
      <u/>
      <sz val="10"/>
      <color indexed="60"/>
      <name val="Century Gothic"/>
      <family val="2"/>
    </font>
    <font>
      <sz val="9"/>
      <color indexed="30"/>
      <name val="Century Gothic"/>
      <family val="2"/>
    </font>
    <font>
      <b/>
      <sz val="12"/>
      <name val="Century Gothic"/>
      <family val="2"/>
    </font>
    <font>
      <b/>
      <sz val="10"/>
      <name val="Century Gothic"/>
      <family val="2"/>
    </font>
    <font>
      <sz val="10"/>
      <color indexed="53"/>
      <name val="Century Gothic"/>
      <family val="2"/>
    </font>
    <font>
      <u/>
      <sz val="10"/>
      <color indexed="53"/>
      <name val="Century Gothic"/>
      <family val="2"/>
    </font>
    <font>
      <b/>
      <u/>
      <sz val="9"/>
      <color indexed="10"/>
      <name val="Century Gothic"/>
      <family val="2"/>
    </font>
    <font>
      <sz val="11"/>
      <name val="Century Gothic"/>
      <family val="2"/>
    </font>
    <font>
      <sz val="8"/>
      <name val="Century Gothic"/>
      <family val="2"/>
    </font>
    <font>
      <b/>
      <sz val="12"/>
      <color indexed="17"/>
      <name val="Century Gothic"/>
      <family val="2"/>
    </font>
    <font>
      <b/>
      <sz val="12"/>
      <color indexed="10"/>
      <name val="Century Gothic"/>
      <family val="2"/>
    </font>
    <font>
      <b/>
      <sz val="10"/>
      <color indexed="10"/>
      <name val="Century Gothic"/>
      <family val="2"/>
    </font>
    <font>
      <b/>
      <sz val="9"/>
      <color indexed="30"/>
      <name val="Century Gothic"/>
      <family val="2"/>
    </font>
    <font>
      <u val="double"/>
      <sz val="9"/>
      <color indexed="8"/>
      <name val="Century Gothic"/>
      <family val="2"/>
    </font>
    <font>
      <b/>
      <sz val="9"/>
      <color indexed="17"/>
      <name val="Century Gothic"/>
      <family val="2"/>
    </font>
    <font>
      <b/>
      <sz val="10"/>
      <color indexed="17"/>
      <name val="Century Gothic"/>
      <family val="2"/>
    </font>
    <font>
      <b/>
      <sz val="10"/>
      <color indexed="36"/>
      <name val="Century Gothic"/>
      <family val="2"/>
    </font>
    <font>
      <b/>
      <i/>
      <sz val="10"/>
      <color indexed="8"/>
      <name val="Century Gothic"/>
      <family val="2"/>
    </font>
    <font>
      <b/>
      <sz val="10"/>
      <color indexed="23"/>
      <name val="Century Gothic"/>
      <family val="2"/>
    </font>
    <font>
      <sz val="10"/>
      <color indexed="10"/>
      <name val="Century Gothic"/>
      <family val="2"/>
    </font>
    <font>
      <b/>
      <u/>
      <sz val="10"/>
      <color indexed="10"/>
      <name val="Century Gothic"/>
      <family val="2"/>
    </font>
    <font>
      <u/>
      <sz val="10"/>
      <color indexed="10"/>
      <name val="Century Gothic"/>
      <family val="2"/>
    </font>
    <font>
      <sz val="10"/>
      <color indexed="23"/>
      <name val="Century Gothic"/>
      <family val="2"/>
    </font>
    <font>
      <u/>
      <sz val="10"/>
      <color indexed="23"/>
      <name val="Century Gothic"/>
      <family val="2"/>
    </font>
    <font>
      <b/>
      <i/>
      <sz val="9"/>
      <color indexed="23"/>
      <name val="Century Gothic"/>
      <family val="2"/>
    </font>
    <font>
      <i/>
      <sz val="10"/>
      <name val="Century Gothic"/>
      <family val="2"/>
    </font>
    <font>
      <sz val="12"/>
      <name val="Century Gothic"/>
      <family val="2"/>
    </font>
    <font>
      <u/>
      <sz val="9"/>
      <color indexed="17"/>
      <name val="Century Gothic"/>
      <family val="2"/>
    </font>
    <font>
      <i/>
      <sz val="9"/>
      <color indexed="23"/>
      <name val="Century Gothic"/>
      <family val="2"/>
    </font>
    <font>
      <sz val="11"/>
      <color indexed="8"/>
      <name val="Century Gothic"/>
      <family val="2"/>
    </font>
    <font>
      <sz val="10"/>
      <color indexed="47"/>
      <name val="Century Gothic"/>
      <family val="2"/>
    </font>
    <font>
      <i/>
      <sz val="11"/>
      <color indexed="8"/>
      <name val="Century Gothic"/>
      <family val="2"/>
    </font>
    <font>
      <b/>
      <sz val="18"/>
      <color indexed="9"/>
      <name val="Century Gothic"/>
      <family val="2"/>
    </font>
    <font>
      <b/>
      <sz val="14"/>
      <color indexed="9"/>
      <name val="Century Gothic"/>
      <family val="2"/>
    </font>
    <font>
      <b/>
      <sz val="11"/>
      <color indexed="8"/>
      <name val="Century Gothic"/>
      <family val="2"/>
    </font>
    <font>
      <b/>
      <sz val="16"/>
      <name val="Century Gothic"/>
      <family val="2"/>
    </font>
    <font>
      <i/>
      <sz val="11"/>
      <name val="Century Gothic"/>
      <family val="2"/>
    </font>
    <font>
      <b/>
      <sz val="16"/>
      <color indexed="62"/>
      <name val="Century Gothic"/>
      <family val="2"/>
    </font>
    <font>
      <u/>
      <sz val="11"/>
      <color indexed="30"/>
      <name val="Century Gothic"/>
      <family val="2"/>
    </font>
    <font>
      <b/>
      <sz val="10"/>
      <color indexed="57"/>
      <name val="Century Gothic"/>
      <family val="2"/>
    </font>
    <font>
      <b/>
      <u/>
      <sz val="10"/>
      <color indexed="57"/>
      <name val="Century Gothic"/>
      <family val="2"/>
    </font>
    <font>
      <b/>
      <i/>
      <sz val="10"/>
      <name val="Century Gothic"/>
      <family val="2"/>
    </font>
    <font>
      <b/>
      <sz val="9"/>
      <color indexed="81"/>
      <name val="Tahoma"/>
      <family val="2"/>
    </font>
    <font>
      <sz val="8"/>
      <color indexed="10"/>
      <name val="Century Gothic"/>
      <family val="2"/>
    </font>
    <font>
      <sz val="11"/>
      <color indexed="10"/>
      <name val="Century Gothic"/>
      <family val="2"/>
    </font>
    <font>
      <u/>
      <sz val="9"/>
      <color indexed="81"/>
      <name val="Tahoma"/>
      <family val="2"/>
    </font>
    <font>
      <sz val="11"/>
      <name val="Wingdings"/>
      <charset val="2"/>
    </font>
    <font>
      <b/>
      <i/>
      <sz val="9"/>
      <name val="Century Gothic"/>
      <family val="2"/>
    </font>
    <font>
      <i/>
      <sz val="9"/>
      <color indexed="10"/>
      <name val="Century Gothic"/>
      <family val="2"/>
    </font>
    <font>
      <sz val="11"/>
      <color indexed="30"/>
      <name val="Century Gothic"/>
      <family val="2"/>
    </font>
    <font>
      <sz val="9"/>
      <color indexed="53"/>
      <name val="Century Gothic"/>
      <family val="2"/>
    </font>
    <font>
      <b/>
      <i/>
      <u/>
      <sz val="9"/>
      <color indexed="30"/>
      <name val="Century Gothic"/>
      <family val="2"/>
    </font>
    <font>
      <i/>
      <sz val="9"/>
      <color indexed="81"/>
      <name val="Tahoma"/>
      <family val="2"/>
    </font>
    <font>
      <i/>
      <sz val="10"/>
      <color indexed="10"/>
      <name val="Century Gothic"/>
      <family val="2"/>
    </font>
    <font>
      <sz val="10"/>
      <color indexed="36"/>
      <name val="Century Gothic"/>
      <family val="2"/>
    </font>
    <font>
      <b/>
      <i/>
      <sz val="9"/>
      <color indexed="36"/>
      <name val="Century Gothic"/>
      <family val="2"/>
    </font>
    <font>
      <sz val="9"/>
      <color indexed="12"/>
      <name val="Century Gothic"/>
      <family val="2"/>
    </font>
    <font>
      <b/>
      <sz val="9"/>
      <color indexed="36"/>
      <name val="Century Gothic"/>
      <family val="2"/>
    </font>
    <font>
      <sz val="7"/>
      <color indexed="8"/>
      <name val="Century Gothic"/>
      <family val="2"/>
    </font>
    <font>
      <u/>
      <sz val="10"/>
      <color indexed="36"/>
      <name val="Century Gothic"/>
      <family val="2"/>
    </font>
    <font>
      <sz val="9"/>
      <color indexed="9"/>
      <name val="Century Gothic"/>
      <family val="2"/>
    </font>
    <font>
      <sz val="8"/>
      <color indexed="23"/>
      <name val="Century Gothic"/>
      <family val="2"/>
    </font>
    <font>
      <b/>
      <sz val="8"/>
      <color indexed="23"/>
      <name val="Century Gothic"/>
      <family val="2"/>
    </font>
    <font>
      <b/>
      <sz val="10"/>
      <name val="Arial"/>
      <family val="2"/>
    </font>
    <font>
      <b/>
      <sz val="12"/>
      <name val="Verdana"/>
      <family val="2"/>
    </font>
    <font>
      <b/>
      <i/>
      <sz val="14"/>
      <name val="Verdana"/>
      <family val="2"/>
    </font>
    <font>
      <vertAlign val="superscript"/>
      <sz val="9"/>
      <name val="Century Gothic"/>
      <family val="2"/>
    </font>
    <font>
      <u/>
      <sz val="9"/>
      <color indexed="12"/>
      <name val="Century Gothic"/>
      <family val="2"/>
    </font>
    <font>
      <b/>
      <u val="double"/>
      <sz val="9"/>
      <color indexed="36"/>
      <name val="Century Gothic"/>
      <family val="2"/>
    </font>
    <font>
      <sz val="10"/>
      <color indexed="57"/>
      <name val="Century Gothic"/>
      <family val="2"/>
    </font>
    <font>
      <u/>
      <sz val="10"/>
      <color indexed="57"/>
      <name val="Century Gothic"/>
      <family val="2"/>
    </font>
    <font>
      <b/>
      <sz val="9"/>
      <color indexed="57"/>
      <name val="Century Gothic"/>
      <family val="2"/>
    </font>
    <font>
      <b/>
      <sz val="10"/>
      <color indexed="81"/>
      <name val="Tahoma"/>
      <family val="2"/>
    </font>
    <font>
      <sz val="10"/>
      <color indexed="81"/>
      <name val="Tahoma"/>
      <family val="2"/>
    </font>
    <font>
      <i/>
      <u/>
      <sz val="10"/>
      <color indexed="81"/>
      <name val="Tahoma"/>
      <family val="2"/>
    </font>
    <font>
      <b/>
      <u/>
      <sz val="11"/>
      <color indexed="23"/>
      <name val="Century Gothic"/>
      <family val="2"/>
    </font>
    <font>
      <sz val="11"/>
      <color indexed="23"/>
      <name val="Century Gothic"/>
      <family val="2"/>
    </font>
    <font>
      <u/>
      <sz val="10"/>
      <color indexed="81"/>
      <name val="Tahoma"/>
      <family val="2"/>
    </font>
    <font>
      <sz val="11"/>
      <color theme="1"/>
      <name val="Calibri"/>
      <family val="2"/>
      <scheme val="minor"/>
    </font>
    <font>
      <u/>
      <sz val="9.35"/>
      <color theme="10"/>
      <name val="Calibri"/>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4"/>
      <color rgb="FF0070C0"/>
      <name val="Century Gothic"/>
      <family val="2"/>
    </font>
    <font>
      <b/>
      <sz val="14"/>
      <color theme="0"/>
      <name val="Century Gothic"/>
      <family val="2"/>
    </font>
    <font>
      <b/>
      <sz val="18"/>
      <color theme="0"/>
      <name val="Century Gothic"/>
      <family val="2"/>
    </font>
    <font>
      <b/>
      <sz val="14"/>
      <color theme="1"/>
      <name val="Century Gothic"/>
      <family val="2"/>
    </font>
    <font>
      <sz val="9"/>
      <color theme="1"/>
      <name val="Century Gothic"/>
      <family val="2"/>
    </font>
    <font>
      <b/>
      <sz val="9"/>
      <color rgb="FFFF0000"/>
      <name val="Century Gothic"/>
      <family val="2"/>
    </font>
    <font>
      <b/>
      <i/>
      <sz val="14"/>
      <color rgb="FFFF0000"/>
      <name val="Century Gothic"/>
      <family val="2"/>
    </font>
    <font>
      <b/>
      <sz val="10"/>
      <color rgb="FF00B050"/>
      <name val="Century Gothic"/>
      <family val="2"/>
    </font>
    <font>
      <sz val="9"/>
      <color rgb="FFFF0000"/>
      <name val="Century Gothic"/>
      <family val="2"/>
    </font>
    <font>
      <sz val="11"/>
      <color theme="1"/>
      <name val="Century Gothic"/>
      <family val="2"/>
    </font>
    <font>
      <sz val="10"/>
      <color rgb="FF00B050"/>
      <name val="Century Gothic"/>
      <family val="2"/>
    </font>
    <font>
      <sz val="10"/>
      <color theme="1"/>
      <name val="Century Gothic"/>
      <family val="2"/>
    </font>
    <font>
      <b/>
      <sz val="18"/>
      <color rgb="FF0070C0"/>
      <name val="Century Gothic"/>
      <family val="2"/>
    </font>
    <font>
      <b/>
      <i/>
      <sz val="11"/>
      <color theme="1"/>
      <name val="Century Gothic"/>
      <family val="2"/>
    </font>
    <font>
      <i/>
      <sz val="9"/>
      <color theme="1"/>
      <name val="Century Gothic"/>
      <family val="2"/>
    </font>
    <font>
      <b/>
      <sz val="11"/>
      <color theme="0"/>
      <name val="Century Gothic"/>
      <family val="2"/>
    </font>
    <font>
      <b/>
      <sz val="12"/>
      <color theme="1"/>
      <name val="Century Gothic"/>
      <family val="2"/>
    </font>
    <font>
      <b/>
      <sz val="11"/>
      <color rgb="FFFF0000"/>
      <name val="Century Gothic"/>
      <family val="2"/>
    </font>
    <font>
      <b/>
      <sz val="11"/>
      <color rgb="FF0070C0"/>
      <name val="Century Gothic"/>
      <family val="2"/>
    </font>
    <font>
      <b/>
      <sz val="12"/>
      <color theme="0"/>
      <name val="Century Gothic"/>
      <family val="2"/>
    </font>
    <font>
      <sz val="12"/>
      <color theme="0"/>
      <name val="Century Gothic"/>
      <family val="2"/>
    </font>
    <font>
      <sz val="10"/>
      <color rgb="FF0070C0"/>
      <name val="Century Gothic"/>
      <family val="2"/>
    </font>
    <font>
      <b/>
      <sz val="9"/>
      <color theme="1"/>
      <name val="Century Gothic"/>
      <family val="2"/>
    </font>
    <font>
      <sz val="8"/>
      <color theme="1"/>
      <name val="Century Gothic"/>
      <family val="2"/>
    </font>
    <font>
      <b/>
      <sz val="10"/>
      <color theme="1"/>
      <name val="Century Gothic"/>
      <family val="2"/>
    </font>
    <font>
      <b/>
      <sz val="11"/>
      <color theme="1"/>
      <name val="Century Gothic"/>
      <family val="2"/>
    </font>
    <font>
      <sz val="11"/>
      <color theme="1"/>
      <name val="Wingdings"/>
      <charset val="2"/>
    </font>
    <font>
      <b/>
      <sz val="11"/>
      <color rgb="FF008000"/>
      <name val="Century Gothic"/>
      <family val="2"/>
    </font>
    <font>
      <b/>
      <sz val="11"/>
      <color rgb="FF00B050"/>
      <name val="Century Gothic"/>
      <family val="2"/>
    </font>
    <font>
      <b/>
      <sz val="10"/>
      <color rgb="FFFF0000"/>
      <name val="Century Gothic"/>
      <family val="2"/>
    </font>
    <font>
      <sz val="9"/>
      <color theme="1"/>
      <name val="Wingdings"/>
      <charset val="2"/>
    </font>
    <font>
      <b/>
      <sz val="24"/>
      <color theme="3" tint="-0.249977111117893"/>
      <name val="Century Gothic"/>
      <family val="2"/>
    </font>
    <font>
      <b/>
      <sz val="8"/>
      <color theme="5" tint="0.39997558519241921"/>
      <name val="Century Gothic"/>
      <family val="2"/>
    </font>
    <font>
      <sz val="10"/>
      <color theme="0"/>
      <name val="Century Gothic"/>
      <family val="2"/>
    </font>
    <font>
      <b/>
      <sz val="10"/>
      <color theme="0"/>
      <name val="Century Gothic"/>
      <family val="2"/>
    </font>
    <font>
      <b/>
      <sz val="9"/>
      <color theme="7" tint="-0.249977111117893"/>
      <name val="Century Gothic"/>
      <family val="2"/>
    </font>
    <font>
      <b/>
      <sz val="9"/>
      <color theme="9" tint="-0.249977111117893"/>
      <name val="Century Gothic"/>
      <family val="2"/>
    </font>
    <font>
      <i/>
      <sz val="10"/>
      <color theme="1"/>
      <name val="Century Gothic"/>
      <family val="2"/>
    </font>
    <font>
      <sz val="12"/>
      <color theme="1"/>
      <name val="Century Gothic"/>
      <family val="2"/>
    </font>
    <font>
      <u/>
      <sz val="10"/>
      <color rgb="FF0070C0"/>
      <name val="Century Gothic"/>
      <family val="2"/>
    </font>
    <font>
      <b/>
      <sz val="12"/>
      <color rgb="FF0070C0"/>
      <name val="Century Gothic"/>
      <family val="2"/>
    </font>
    <font>
      <b/>
      <u/>
      <sz val="10"/>
      <color theme="1"/>
      <name val="Century Gothic"/>
      <family val="2"/>
    </font>
    <font>
      <b/>
      <sz val="10"/>
      <color theme="1"/>
      <name val="Calibri"/>
      <family val="2"/>
    </font>
    <font>
      <sz val="7"/>
      <color theme="1"/>
      <name val="Century Gothic"/>
      <family val="2"/>
    </font>
    <font>
      <b/>
      <sz val="8"/>
      <color rgb="FF0070C0"/>
      <name val="Century Gothic"/>
      <family val="2"/>
    </font>
    <font>
      <sz val="10"/>
      <color theme="5" tint="-0.249977111117893"/>
      <name val="Century Gothic"/>
      <family val="2"/>
    </font>
    <font>
      <u/>
      <sz val="10"/>
      <color theme="5" tint="-0.249977111117893"/>
      <name val="Century Gothic"/>
      <family val="2"/>
    </font>
    <font>
      <b/>
      <i/>
      <sz val="9"/>
      <color rgb="FF0070C0"/>
      <name val="Century Gothic"/>
      <family val="2"/>
    </font>
    <font>
      <sz val="11"/>
      <color theme="0"/>
      <name val="Century Gothic"/>
      <family val="2"/>
    </font>
    <font>
      <sz val="10"/>
      <color theme="7" tint="-0.249977111117893"/>
      <name val="Century Gothic"/>
      <family val="2"/>
    </font>
    <font>
      <u/>
      <sz val="10"/>
      <color theme="7" tint="-0.249977111117893"/>
      <name val="Century Gothic"/>
      <family val="2"/>
    </font>
    <font>
      <sz val="10"/>
      <color theme="9" tint="-0.249977111117893"/>
      <name val="Century Gothic"/>
      <family val="2"/>
    </font>
    <font>
      <u/>
      <sz val="10"/>
      <color theme="9" tint="-0.249977111117893"/>
      <name val="Century Gothic"/>
      <family val="2"/>
    </font>
    <font>
      <sz val="10"/>
      <color theme="0" tint="-0.499984740745262"/>
      <name val="Century Gothic"/>
      <family val="2"/>
    </font>
    <font>
      <u/>
      <sz val="10"/>
      <color theme="0" tint="-0.499984740745262"/>
      <name val="Century Gothic"/>
      <family val="2"/>
    </font>
    <font>
      <i/>
      <sz val="10"/>
      <color theme="0"/>
      <name val="Century Gothic"/>
      <family val="2"/>
    </font>
    <font>
      <b/>
      <i/>
      <sz val="10"/>
      <color theme="1"/>
      <name val="Century Gothic"/>
      <family val="2"/>
    </font>
    <font>
      <b/>
      <sz val="16"/>
      <color theme="1"/>
      <name val="Century Gothic"/>
      <family val="2"/>
    </font>
    <font>
      <sz val="11"/>
      <color rgb="FF303030"/>
      <name val="Verdana"/>
      <family val="2"/>
    </font>
    <font>
      <sz val="10"/>
      <color rgb="FFFF0000"/>
      <name val="Century Gothic"/>
      <family val="2"/>
    </font>
    <font>
      <sz val="11"/>
      <color rgb="FFFF0000"/>
      <name val="Century Gothic"/>
      <family val="2"/>
    </font>
    <font>
      <sz val="9"/>
      <color theme="3" tint="0.39997558519241921"/>
      <name val="Century Gothic"/>
      <family val="2"/>
    </font>
    <font>
      <b/>
      <sz val="10"/>
      <color rgb="FFFFFFFF"/>
      <name val="Century Gothic"/>
      <family val="2"/>
    </font>
    <font>
      <sz val="12"/>
      <color rgb="FFFF0000"/>
      <name val="Century Gothic"/>
      <family val="2"/>
    </font>
    <font>
      <b/>
      <sz val="12"/>
      <color rgb="FFFFFFFF"/>
      <name val="Century Gothic"/>
      <family val="2"/>
    </font>
    <font>
      <b/>
      <sz val="8"/>
      <color theme="1"/>
      <name val="Century Gothic"/>
      <family val="2"/>
    </font>
    <font>
      <i/>
      <sz val="8"/>
      <color theme="1"/>
      <name val="Century Gothic"/>
      <family val="2"/>
    </font>
    <font>
      <b/>
      <sz val="18"/>
      <color theme="1"/>
      <name val="Century Gothic"/>
      <family val="2"/>
    </font>
    <font>
      <sz val="16"/>
      <color theme="1"/>
      <name val="Century Gothic"/>
      <family val="2"/>
    </font>
    <font>
      <b/>
      <sz val="12"/>
      <color rgb="FF00B050"/>
      <name val="Century Gothic"/>
      <family val="2"/>
    </font>
    <font>
      <b/>
      <sz val="11"/>
      <color theme="5" tint="-0.249977111117893"/>
      <name val="Century Gothic"/>
      <family val="2"/>
    </font>
    <font>
      <b/>
      <i/>
      <u/>
      <sz val="11"/>
      <color theme="1"/>
      <name val="Century Gothic"/>
      <family val="2"/>
    </font>
    <font>
      <i/>
      <sz val="8"/>
      <color rgb="FFFF0000"/>
      <name val="Century Gothic"/>
      <family val="2"/>
    </font>
    <font>
      <b/>
      <sz val="16"/>
      <color rgb="FF0070C0"/>
      <name val="Century Gothic"/>
      <family val="2"/>
    </font>
    <font>
      <b/>
      <u/>
      <sz val="9"/>
      <color theme="1"/>
      <name val="Century Gothic"/>
      <family val="2"/>
    </font>
    <font>
      <b/>
      <sz val="9"/>
      <color rgb="FF0070C0"/>
      <name val="Century Gothic"/>
      <family val="2"/>
    </font>
    <font>
      <b/>
      <sz val="9"/>
      <color theme="0" tint="-0.499984740745262"/>
      <name val="Century Gothic"/>
      <family val="2"/>
    </font>
    <font>
      <sz val="10"/>
      <color theme="7" tint="0.39997558519241921"/>
      <name val="Century Gothic"/>
      <family val="2"/>
    </font>
    <font>
      <b/>
      <sz val="11"/>
      <color theme="0" tint="-0.499984740745262"/>
      <name val="Century Gothic"/>
      <family val="2"/>
    </font>
    <font>
      <b/>
      <sz val="10"/>
      <color theme="3" tint="0.39997558519241921"/>
      <name val="Century Gothic"/>
      <family val="2"/>
    </font>
    <font>
      <sz val="10"/>
      <color theme="3" tint="0.39997558519241921"/>
      <name val="Century Gothic"/>
      <family val="2"/>
    </font>
    <font>
      <i/>
      <sz val="11"/>
      <color theme="1"/>
      <name val="Century Gothic"/>
      <family val="2"/>
    </font>
    <font>
      <sz val="11"/>
      <color theme="1"/>
      <name val="Calibri"/>
      <family val="2"/>
    </font>
    <font>
      <b/>
      <sz val="11"/>
      <color theme="3" tint="-0.249977111117893"/>
      <name val="Century Gothic"/>
      <family val="2"/>
    </font>
    <font>
      <sz val="9"/>
      <color theme="0"/>
      <name val="Century Gothic"/>
      <family val="2"/>
    </font>
    <font>
      <b/>
      <sz val="9"/>
      <color rgb="FF00B050"/>
      <name val="Century Gothic"/>
      <family val="2"/>
    </font>
    <font>
      <sz val="10"/>
      <color theme="6"/>
      <name val="Century Gothic"/>
      <family val="2"/>
    </font>
    <font>
      <u/>
      <sz val="10"/>
      <color theme="6"/>
      <name val="Century Gothic"/>
      <family val="2"/>
    </font>
    <font>
      <sz val="10"/>
      <color theme="7"/>
      <name val="Century Gothic"/>
      <family val="2"/>
    </font>
    <font>
      <sz val="11"/>
      <color theme="7"/>
      <name val="Century Gothic"/>
      <family val="2"/>
    </font>
    <font>
      <i/>
      <sz val="9"/>
      <color rgb="FF00B050"/>
      <name val="Century Gothic"/>
      <family val="2"/>
    </font>
    <font>
      <b/>
      <sz val="10"/>
      <color theme="5" tint="0.39997558519241921"/>
      <name val="Century Gothic"/>
      <family val="2"/>
    </font>
    <font>
      <b/>
      <sz val="10"/>
      <color rgb="FF0070C0"/>
      <name val="Century Gothic"/>
      <family val="2"/>
    </font>
    <font>
      <b/>
      <sz val="10"/>
      <color theme="5" tint="-0.249977111117893"/>
      <name val="Century Gothic"/>
      <family val="2"/>
    </font>
    <font>
      <b/>
      <sz val="10"/>
      <color theme="6"/>
      <name val="Century Gothic"/>
      <family val="2"/>
    </font>
    <font>
      <b/>
      <sz val="10"/>
      <color theme="6" tint="-0.249977111117893"/>
      <name val="Century Gothic"/>
      <family val="2"/>
    </font>
    <font>
      <b/>
      <u/>
      <sz val="9"/>
      <color rgb="FF0070C0"/>
      <name val="Century Gothic"/>
      <family val="2"/>
    </font>
    <font>
      <b/>
      <sz val="10"/>
      <color theme="1" tint="0.499984740745262"/>
      <name val="Century Gothic"/>
      <family val="2"/>
    </font>
    <font>
      <sz val="8"/>
      <color theme="1" tint="0.499984740745262"/>
      <name val="Century Gothic"/>
      <family val="2"/>
    </font>
    <font>
      <b/>
      <sz val="11"/>
      <color theme="9" tint="-0.249977111117893"/>
      <name val="Century Gothic"/>
      <family val="2"/>
    </font>
    <font>
      <b/>
      <sz val="11"/>
      <color theme="1" tint="0.499984740745262"/>
      <name val="Century Gothic"/>
      <family val="2"/>
    </font>
    <font>
      <sz val="7"/>
      <color theme="9" tint="-0.249977111117893"/>
      <name val="Century Gothic"/>
      <family val="2"/>
    </font>
    <font>
      <b/>
      <sz val="11"/>
      <color theme="7" tint="-0.249977111117893"/>
      <name val="Century Gothic"/>
      <family val="2"/>
    </font>
    <font>
      <b/>
      <sz val="11"/>
      <color theme="6"/>
      <name val="Century Gothic"/>
      <family val="2"/>
    </font>
    <font>
      <b/>
      <sz val="10"/>
      <color theme="9" tint="-0.249977111117893"/>
      <name val="Century Gothic"/>
      <family val="2"/>
    </font>
    <font>
      <b/>
      <sz val="10"/>
      <color theme="7" tint="-0.249977111117893"/>
      <name val="Century Gothic"/>
      <family val="2"/>
    </font>
    <font>
      <b/>
      <sz val="10"/>
      <color rgb="FF008000"/>
      <name val="Century Gothic"/>
      <family val="2"/>
    </font>
    <font>
      <b/>
      <i/>
      <sz val="9"/>
      <color theme="6"/>
      <name val="Century Gothic"/>
      <family val="2"/>
    </font>
    <font>
      <b/>
      <i/>
      <sz val="9"/>
      <color theme="0" tint="-0.499984740745262"/>
      <name val="Century Gothic"/>
      <family val="2"/>
    </font>
    <font>
      <b/>
      <sz val="12"/>
      <color theme="6"/>
      <name val="Century Gothic"/>
      <family val="2"/>
    </font>
    <font>
      <b/>
      <i/>
      <sz val="9"/>
      <color theme="5" tint="-0.249977111117893"/>
      <name val="Century Gothic"/>
      <family val="2"/>
    </font>
    <font>
      <b/>
      <sz val="12"/>
      <color theme="5" tint="-0.249977111117893"/>
      <name val="Century Gothic"/>
      <family val="2"/>
    </font>
    <font>
      <b/>
      <sz val="12"/>
      <color theme="7" tint="-0.249977111117893"/>
      <name val="Century Gothic"/>
      <family val="2"/>
    </font>
    <font>
      <b/>
      <i/>
      <sz val="9"/>
      <color theme="9" tint="-0.249977111117893"/>
      <name val="Century Gothic"/>
      <family val="2"/>
    </font>
    <font>
      <sz val="9"/>
      <color theme="1"/>
      <name val="Arial"/>
      <family val="2"/>
    </font>
    <font>
      <b/>
      <i/>
      <sz val="9"/>
      <color theme="7" tint="-0.249977111117893"/>
      <name val="Century Gothic"/>
      <family val="2"/>
    </font>
    <font>
      <u/>
      <sz val="10"/>
      <color theme="10"/>
      <name val="Century Gothic"/>
      <family val="2"/>
    </font>
    <font>
      <sz val="8"/>
      <color theme="3" tint="0.39997558519241921"/>
      <name val="Century Gothic"/>
      <family val="2"/>
    </font>
    <font>
      <b/>
      <sz val="11"/>
      <color theme="3" tint="0.39997558519241921"/>
      <name val="Century Gothic"/>
      <family val="2"/>
    </font>
    <font>
      <u/>
      <sz val="12"/>
      <color theme="10"/>
      <name val="Calibri"/>
      <family val="2"/>
    </font>
    <font>
      <sz val="8"/>
      <color rgb="FF008000"/>
      <name val="Century Gothic"/>
      <family val="2"/>
    </font>
    <font>
      <sz val="8"/>
      <color theme="0" tint="-0.499984740745262"/>
      <name val="Century Gothic"/>
      <family val="2"/>
    </font>
    <font>
      <b/>
      <sz val="8"/>
      <color theme="0" tint="-0.499984740745262"/>
      <name val="Century Gothic"/>
      <family val="2"/>
    </font>
    <font>
      <b/>
      <i/>
      <sz val="9"/>
      <color theme="1"/>
      <name val="Century Gothic"/>
      <family val="2"/>
    </font>
    <font>
      <sz val="9"/>
      <color theme="10"/>
      <name val="Century Gothic"/>
      <family val="2"/>
    </font>
    <font>
      <b/>
      <sz val="9"/>
      <color theme="0"/>
      <name val="Century Gothic"/>
      <family val="2"/>
    </font>
    <font>
      <strike/>
      <sz val="11"/>
      <color theme="1"/>
      <name val="Century Gothic"/>
      <family val="2"/>
    </font>
    <font>
      <b/>
      <u/>
      <sz val="11"/>
      <color theme="1"/>
      <name val="Century Gothic"/>
      <family val="2"/>
    </font>
    <font>
      <b/>
      <sz val="9"/>
      <color theme="1"/>
      <name val="Calibri"/>
      <family val="2"/>
      <scheme val="minor"/>
    </font>
    <font>
      <sz val="9"/>
      <color theme="1"/>
      <name val="Calibri"/>
      <family val="2"/>
      <scheme val="minor"/>
    </font>
    <font>
      <sz val="11"/>
      <color theme="1"/>
      <name val="Book Antiqua"/>
      <family val="1"/>
    </font>
    <font>
      <sz val="11"/>
      <color theme="0"/>
      <name val="Book Antiqua"/>
      <family val="1"/>
    </font>
    <font>
      <b/>
      <sz val="11"/>
      <color theme="0"/>
      <name val="Book Antiqua"/>
      <family val="1"/>
    </font>
    <font>
      <sz val="10"/>
      <name val="Geneva"/>
    </font>
    <font>
      <b/>
      <sz val="10"/>
      <color indexed="10"/>
      <name val="Arial"/>
      <family val="2"/>
    </font>
    <font>
      <sz val="8"/>
      <name val="Arial"/>
      <family val="2"/>
    </font>
    <font>
      <i/>
      <sz val="10"/>
      <name val="Arial"/>
      <family val="2"/>
    </font>
    <font>
      <sz val="10"/>
      <color indexed="8"/>
      <name val="Arial"/>
      <family val="2"/>
    </font>
    <font>
      <b/>
      <i/>
      <sz val="10"/>
      <name val="Arial"/>
      <family val="2"/>
    </font>
    <font>
      <sz val="10"/>
      <color indexed="10"/>
      <name val="Arial"/>
      <family val="2"/>
    </font>
    <font>
      <sz val="7"/>
      <color indexed="10"/>
      <name val="Arial"/>
      <family val="2"/>
    </font>
    <font>
      <u/>
      <sz val="10"/>
      <color indexed="12"/>
      <name val="Geneva"/>
    </font>
    <font>
      <u/>
      <sz val="10"/>
      <color indexed="12"/>
      <name val="Courier"/>
      <family val="3"/>
    </font>
    <font>
      <b/>
      <sz val="8"/>
      <name val="Arial"/>
      <family val="2"/>
    </font>
    <font>
      <sz val="8"/>
      <color rgb="FF000000"/>
      <name val="Tahoma"/>
      <family val="2"/>
    </font>
    <font>
      <sz val="10"/>
      <name val="MS Sans Serif"/>
      <family val="2"/>
    </font>
    <font>
      <sz val="11"/>
      <color theme="0" tint="-4.9989318521683403E-2"/>
      <name val="Calibri"/>
      <family val="2"/>
      <scheme val="minor"/>
    </font>
    <font>
      <b/>
      <sz val="20"/>
      <color rgb="FF005577"/>
      <name val="Century Gothic"/>
      <family val="2"/>
    </font>
    <font>
      <sz val="13"/>
      <color rgb="FF005577"/>
      <name val="Century Gothic"/>
      <family val="2"/>
    </font>
    <font>
      <b/>
      <sz val="13"/>
      <color rgb="FF005577"/>
      <name val="Century Gothic"/>
      <family val="2"/>
    </font>
    <font>
      <b/>
      <u/>
      <sz val="9"/>
      <color rgb="FF00B9A5"/>
      <name val="Century Gothic"/>
      <family val="2"/>
    </font>
    <font>
      <b/>
      <sz val="9"/>
      <color rgb="FF00B9A5"/>
      <name val="Century Gothic"/>
      <family val="2"/>
    </font>
    <font>
      <b/>
      <i/>
      <sz val="14"/>
      <color rgb="FF00B9A5"/>
      <name val="Century Gothic"/>
      <family val="2"/>
    </font>
    <font>
      <b/>
      <sz val="11"/>
      <color rgb="FF00B9A5"/>
      <name val="Century Gothic"/>
      <family val="2"/>
    </font>
    <font>
      <sz val="11"/>
      <color rgb="FF00B9A5"/>
      <name val="Century Gothic"/>
      <family val="2"/>
    </font>
    <font>
      <b/>
      <sz val="9"/>
      <color rgb="FF005577"/>
      <name val="Century Gothic"/>
      <family val="2"/>
    </font>
    <font>
      <b/>
      <i/>
      <sz val="10"/>
      <color rgb="FF005577"/>
      <name val="Century Gothic"/>
      <family val="2"/>
    </font>
    <font>
      <b/>
      <i/>
      <sz val="11"/>
      <color rgb="FF005577"/>
      <name val="Century Gothic"/>
      <family val="2"/>
    </font>
    <font>
      <b/>
      <sz val="22"/>
      <color rgb="FF005577"/>
      <name val="Century Gothic"/>
      <family val="2"/>
    </font>
    <font>
      <b/>
      <sz val="14"/>
      <color rgb="FF005577"/>
      <name val="Century Gothic"/>
      <family val="2"/>
    </font>
    <font>
      <sz val="10"/>
      <color rgb="FF005577"/>
      <name val="Century Gothic"/>
      <family val="2"/>
    </font>
    <font>
      <b/>
      <sz val="11"/>
      <color rgb="FF005577"/>
      <name val="Century Gothic"/>
      <family val="2"/>
    </font>
    <font>
      <sz val="9"/>
      <color rgb="FF005577"/>
      <name val="Century Gothic"/>
      <family val="2"/>
    </font>
    <font>
      <b/>
      <u/>
      <sz val="9"/>
      <color rgb="FF005577"/>
      <name val="Century Gothic"/>
      <family val="2"/>
    </font>
    <font>
      <b/>
      <sz val="16"/>
      <color rgb="FF005577"/>
      <name val="Century Gothic"/>
      <family val="2"/>
    </font>
    <font>
      <b/>
      <sz val="24"/>
      <color rgb="FF005577"/>
      <name val="Century Gothic"/>
      <family val="2"/>
    </font>
    <font>
      <b/>
      <sz val="10"/>
      <color rgb="FF005577"/>
      <name val="Century Gothic"/>
      <family val="2"/>
    </font>
    <font>
      <b/>
      <sz val="14"/>
      <color rgb="FF007E7E"/>
      <name val="Century Gothic"/>
      <family val="2"/>
    </font>
    <font>
      <sz val="11"/>
      <color rgb="FF007E7E"/>
      <name val="Century Gothic"/>
      <family val="2"/>
    </font>
    <font>
      <sz val="9"/>
      <color rgb="FF007E7E"/>
      <name val="Century Gothic"/>
      <family val="2"/>
    </font>
    <font>
      <b/>
      <sz val="18"/>
      <color rgb="FF005577"/>
      <name val="Century Gothic"/>
      <family val="2"/>
    </font>
    <font>
      <sz val="11"/>
      <color rgb="FF005577"/>
      <name val="Century Gothic"/>
      <family val="2"/>
    </font>
    <font>
      <i/>
      <sz val="9"/>
      <color rgb="FF007E7E"/>
      <name val="Century Gothic"/>
      <family val="2"/>
    </font>
    <font>
      <i/>
      <u/>
      <sz val="9"/>
      <color rgb="FF007E7E"/>
      <name val="Century Gothic"/>
      <family val="2"/>
    </font>
    <font>
      <i/>
      <sz val="10"/>
      <color rgb="FF007E7E"/>
      <name val="Century Gothic"/>
      <family val="2"/>
    </font>
    <font>
      <i/>
      <u/>
      <sz val="10"/>
      <color rgb="FF007E7E"/>
      <name val="Century Gothic"/>
      <family val="2"/>
    </font>
    <font>
      <i/>
      <sz val="9"/>
      <color theme="0"/>
      <name val="Century Gothic"/>
      <family val="2"/>
    </font>
    <font>
      <b/>
      <sz val="12"/>
      <color rgb="FF005577"/>
      <name val="Century Gothic"/>
      <family val="2"/>
    </font>
    <font>
      <b/>
      <sz val="12"/>
      <color rgb="FF00B9A5"/>
      <name val="Century Gothic"/>
      <family val="2"/>
    </font>
    <font>
      <sz val="10"/>
      <color rgb="FF00B9A5"/>
      <name val="Century Gothic"/>
      <family val="2"/>
    </font>
    <font>
      <b/>
      <sz val="12"/>
      <color rgb="FF007E7E"/>
      <name val="Century Gothic"/>
      <family val="2"/>
    </font>
    <font>
      <sz val="10"/>
      <color rgb="FF007E7E"/>
      <name val="Century Gothic"/>
      <family val="2"/>
    </font>
    <font>
      <b/>
      <sz val="11"/>
      <color rgb="FF007E7E"/>
      <name val="Century Gothic"/>
      <family val="2"/>
    </font>
    <font>
      <b/>
      <sz val="12"/>
      <color rgb="FF005577"/>
      <name val="Arial"/>
      <family val="2"/>
    </font>
    <font>
      <b/>
      <sz val="11"/>
      <color rgb="FF005577"/>
      <name val="Arial"/>
      <family val="2"/>
    </font>
  </fonts>
  <fills count="4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mediumGray">
        <bgColor theme="0"/>
      </patternFill>
    </fill>
    <fill>
      <patternFill patternType="solid">
        <fgColor rgb="FF0000FF"/>
        <bgColor indexed="64"/>
      </patternFill>
    </fill>
    <fill>
      <patternFill patternType="solid">
        <fgColor rgb="FF99FFCC"/>
        <bgColor indexed="64"/>
      </patternFill>
    </fill>
    <fill>
      <patternFill patternType="solid">
        <fgColor rgb="FFFFFF99"/>
        <bgColor indexed="64"/>
      </patternFill>
    </fill>
    <fill>
      <patternFill patternType="solid">
        <fgColor rgb="FF339966"/>
        <bgColor indexed="64"/>
      </patternFill>
    </fill>
    <fill>
      <patternFill patternType="solid">
        <fgColor rgb="FFCCFFCC"/>
        <bgColor indexed="64"/>
      </patternFill>
    </fill>
    <fill>
      <patternFill patternType="solid">
        <fgColor theme="5" tint="0.59999389629810485"/>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249977111117893"/>
        <bgColor indexed="64"/>
      </patternFill>
    </fill>
    <fill>
      <patternFill patternType="darkGray">
        <fgColor indexed="42"/>
        <bgColor theme="0"/>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mediumGray">
        <bgColor theme="9" tint="0.39994506668294322"/>
      </patternFill>
    </fill>
    <fill>
      <patternFill patternType="mediumGray">
        <bgColor theme="9" tint="0.39997558519241921"/>
      </patternFill>
    </fill>
    <fill>
      <patternFill patternType="mediumGray">
        <bgColor theme="0" tint="-0.34998626667073579"/>
      </patternFill>
    </fill>
    <fill>
      <patternFill patternType="solid">
        <fgColor theme="6"/>
        <bgColor indexed="64"/>
      </patternFill>
    </fill>
    <fill>
      <patternFill patternType="solid">
        <fgColor theme="1"/>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FFCC"/>
        <bgColor indexed="64"/>
      </patternFill>
    </fill>
    <fill>
      <patternFill patternType="gray0625"/>
    </fill>
    <fill>
      <patternFill patternType="solid">
        <fgColor theme="0" tint="-4.9989318521683403E-2"/>
        <bgColor indexed="64"/>
      </patternFill>
    </fill>
    <fill>
      <patternFill patternType="solid">
        <fgColor rgb="FF005577"/>
        <bgColor indexed="64"/>
      </patternFill>
    </fill>
    <fill>
      <patternFill patternType="solid">
        <fgColor rgb="FF00B9A5"/>
        <bgColor indexed="64"/>
      </patternFill>
    </fill>
    <fill>
      <patternFill patternType="solid">
        <fgColor rgb="FF007E7E"/>
        <bgColor indexed="64"/>
      </patternFill>
    </fill>
  </fills>
  <borders count="3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medium">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rgb="FFFF0000"/>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style="thin">
        <color theme="3" tint="-0.2499465926084170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style="medium">
        <color theme="5" tint="-0.24994659260841701"/>
      </left>
      <right/>
      <top style="medium">
        <color theme="5" tint="-0.24994659260841701"/>
      </top>
      <bottom style="medium">
        <color theme="5" tint="-0.24994659260841701"/>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theme="7" tint="-0.24994659260841701"/>
      </left>
      <right/>
      <top style="medium">
        <color theme="7" tint="-0.24994659260841701"/>
      </top>
      <bottom style="medium">
        <color theme="7" tint="-0.24994659260841701"/>
      </bottom>
      <diagonal/>
    </border>
    <border>
      <left style="medium">
        <color theme="7" tint="-0.24994659260841701"/>
      </left>
      <right/>
      <top style="medium">
        <color theme="7" tint="-0.24994659260841701"/>
      </top>
      <bottom/>
      <diagonal/>
    </border>
    <border>
      <left/>
      <right/>
      <top style="medium">
        <color theme="7" tint="-0.24994659260841701"/>
      </top>
      <bottom/>
      <diagonal/>
    </border>
    <border>
      <left/>
      <right style="medium">
        <color theme="7" tint="-0.24994659260841701"/>
      </right>
      <top style="medium">
        <color theme="7" tint="-0.24994659260841701"/>
      </top>
      <bottom/>
      <diagonal/>
    </border>
    <border>
      <left style="medium">
        <color theme="7" tint="-0.24994659260841701"/>
      </left>
      <right/>
      <top/>
      <bottom/>
      <diagonal/>
    </border>
    <border>
      <left style="medium">
        <color theme="7" tint="-0.24994659260841701"/>
      </left>
      <right/>
      <top/>
      <bottom style="medium">
        <color theme="7" tint="-0.24994659260841701"/>
      </bottom>
      <diagonal/>
    </border>
    <border>
      <left/>
      <right/>
      <top/>
      <bottom style="medium">
        <color theme="7" tint="-0.24994659260841701"/>
      </bottom>
      <diagonal/>
    </border>
    <border>
      <left/>
      <right style="medium">
        <color theme="7" tint="-0.24994659260841701"/>
      </right>
      <top/>
      <bottom style="medium">
        <color theme="7" tint="-0.24994659260841701"/>
      </bottom>
      <diagonal/>
    </border>
    <border>
      <left/>
      <right style="medium">
        <color theme="7" tint="-0.24994659260841701"/>
      </right>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thin">
        <color rgb="FFFF0000"/>
      </left>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indexed="64"/>
      </left>
      <right style="thin">
        <color indexed="64"/>
      </right>
      <top style="thin">
        <color rgb="FF00B050"/>
      </top>
      <bottom style="thin">
        <color indexed="64"/>
      </bottom>
      <diagonal/>
    </border>
    <border>
      <left style="medium">
        <color indexed="64"/>
      </left>
      <right style="thin">
        <color rgb="FFFF0000"/>
      </right>
      <top style="thin">
        <color rgb="FFFF0000"/>
      </top>
      <bottom style="medium">
        <color rgb="FFFF0000"/>
      </bottom>
      <diagonal/>
    </border>
    <border>
      <left style="thin">
        <color rgb="FFFF0000"/>
      </left>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thin">
        <color rgb="FFFF0000"/>
      </top>
      <bottom style="medium">
        <color rgb="FFFF0000"/>
      </bottom>
      <diagonal/>
    </border>
    <border>
      <left style="thin">
        <color rgb="FFFF0000"/>
      </left>
      <right style="medium">
        <color indexed="64"/>
      </right>
      <top style="thin">
        <color rgb="FFFF0000"/>
      </top>
      <bottom style="medium">
        <color rgb="FFFF0000"/>
      </bottom>
      <diagonal/>
    </border>
    <border>
      <left style="medium">
        <color theme="5" tint="-0.249977111117893"/>
      </left>
      <right/>
      <top style="medium">
        <color theme="5" tint="-0.249977111117893"/>
      </top>
      <bottom style="medium">
        <color theme="5" tint="-0.24994659260841701"/>
      </bottom>
      <diagonal/>
    </border>
    <border>
      <left style="medium">
        <color theme="5" tint="-0.249977111117893"/>
      </left>
      <right/>
      <top style="medium">
        <color theme="5" tint="-0.24994659260841701"/>
      </top>
      <bottom/>
      <diagonal/>
    </border>
    <border>
      <left/>
      <right style="medium">
        <color theme="5" tint="-0.249977111117893"/>
      </right>
      <top style="medium">
        <color theme="5" tint="-0.24994659260841701"/>
      </top>
      <bottom/>
      <diagonal/>
    </border>
    <border>
      <left/>
      <right style="medium">
        <color theme="5" tint="-0.249977111117893"/>
      </right>
      <top/>
      <bottom/>
      <diagonal/>
    </border>
    <border>
      <left style="medium">
        <color theme="5" tint="-0.249977111117893"/>
      </left>
      <right/>
      <top/>
      <bottom/>
      <diagonal/>
    </border>
    <border>
      <left style="medium">
        <color theme="5" tint="-0.249977111117893"/>
      </left>
      <right/>
      <top/>
      <bottom style="medium">
        <color theme="5" tint="-0.24994659260841701"/>
      </bottom>
      <diagonal/>
    </border>
    <border>
      <left/>
      <right style="medium">
        <color theme="5" tint="-0.249977111117893"/>
      </right>
      <top/>
      <bottom style="medium">
        <color theme="5" tint="-0.24994659260841701"/>
      </bottom>
      <diagonal/>
    </border>
    <border>
      <left style="thin">
        <color rgb="FFFF0000"/>
      </left>
      <right style="thin">
        <color rgb="FFFF0000"/>
      </right>
      <top style="thin">
        <color rgb="FFFF0000"/>
      </top>
      <bottom style="thin">
        <color rgb="FFFF000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top/>
      <bottom style="thin">
        <color theme="0"/>
      </bottom>
      <diagonal/>
    </border>
    <border>
      <left/>
      <right style="thin">
        <color indexed="64"/>
      </right>
      <top style="thin">
        <color indexed="64"/>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right/>
      <top style="thin">
        <color theme="0"/>
      </top>
      <bottom/>
      <diagonal/>
    </border>
    <border>
      <left style="thin">
        <color indexed="64"/>
      </left>
      <right/>
      <top style="thin">
        <color indexed="64"/>
      </top>
      <bottom style="thin">
        <color theme="0"/>
      </bottom>
      <diagonal/>
    </border>
    <border>
      <left style="thin">
        <color theme="0"/>
      </left>
      <right/>
      <top style="thin">
        <color indexed="64"/>
      </top>
      <bottom style="thin">
        <color theme="0"/>
      </bottom>
      <diagonal/>
    </border>
    <border>
      <left style="thin">
        <color indexed="64"/>
      </left>
      <right/>
      <top/>
      <bottom style="thin">
        <color theme="0"/>
      </bottom>
      <diagonal/>
    </border>
    <border>
      <left style="thin">
        <color theme="0"/>
      </left>
      <right/>
      <top/>
      <bottom style="thin">
        <color theme="0"/>
      </bottom>
      <diagonal/>
    </border>
    <border>
      <left/>
      <right/>
      <top style="mediumDashed">
        <color theme="3"/>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FF0000"/>
      </left>
      <right/>
      <top style="thin">
        <color rgb="FFFF0000"/>
      </top>
      <bottom style="thin">
        <color rgb="FFFF0000"/>
      </bottom>
      <diagonal/>
    </border>
    <border>
      <left style="thin">
        <color theme="3"/>
      </left>
      <right/>
      <top style="mediumDashed">
        <color theme="3"/>
      </top>
      <bottom style="mediumDashed">
        <color theme="3"/>
      </bottom>
      <diagonal/>
    </border>
    <border>
      <left style="medium">
        <color theme="6"/>
      </left>
      <right/>
      <top/>
      <bottom style="medium">
        <color theme="6"/>
      </bottom>
      <diagonal/>
    </border>
    <border>
      <left/>
      <right style="medium">
        <color theme="6"/>
      </right>
      <top/>
      <bottom/>
      <diagonal/>
    </border>
    <border>
      <left/>
      <right/>
      <top/>
      <bottom style="medium">
        <color theme="6"/>
      </bottom>
      <diagonal/>
    </border>
    <border>
      <left/>
      <right style="medium">
        <color theme="6"/>
      </right>
      <top/>
      <bottom style="medium">
        <color theme="6"/>
      </bottom>
      <diagonal/>
    </border>
    <border>
      <left style="medium">
        <color theme="6"/>
      </left>
      <right style="medium">
        <color theme="6"/>
      </right>
      <top style="medium">
        <color theme="6"/>
      </top>
      <bottom/>
      <diagonal/>
    </border>
    <border>
      <left style="medium">
        <color theme="6"/>
      </left>
      <right/>
      <top/>
      <bottom/>
      <diagonal/>
    </border>
    <border>
      <left style="medium">
        <color theme="6"/>
      </left>
      <right style="medium">
        <color theme="6"/>
      </right>
      <top style="medium">
        <color theme="6"/>
      </top>
      <bottom style="medium">
        <color theme="6"/>
      </bottom>
      <diagonal/>
    </border>
    <border>
      <left/>
      <right/>
      <top/>
      <bottom style="mediumDashed">
        <color theme="3"/>
      </bottom>
      <diagonal/>
    </border>
    <border>
      <left style="thin">
        <color indexed="64"/>
      </left>
      <right style="thin">
        <color indexed="64"/>
      </right>
      <top/>
      <bottom style="mediumDashed">
        <color theme="3"/>
      </bottom>
      <diagonal/>
    </border>
    <border>
      <left/>
      <right style="thin">
        <color indexed="64"/>
      </right>
      <top/>
      <bottom style="mediumDashed">
        <color theme="3"/>
      </bottom>
      <diagonal/>
    </border>
    <border>
      <left style="thin">
        <color indexed="64"/>
      </left>
      <right/>
      <top/>
      <bottom style="mediumDashed">
        <color theme="3"/>
      </bottom>
      <diagonal/>
    </border>
    <border>
      <left style="thin">
        <color indexed="64"/>
      </left>
      <right/>
      <top style="mediumDashed">
        <color theme="3"/>
      </top>
      <bottom style="mediumDashed">
        <color theme="3"/>
      </bottom>
      <diagonal/>
    </border>
    <border>
      <left style="thin">
        <color indexed="64"/>
      </left>
      <right style="thin">
        <color indexed="64"/>
      </right>
      <top style="hair">
        <color rgb="FF0000CC"/>
      </top>
      <bottom style="hair">
        <color rgb="FF0000CC"/>
      </bottom>
      <diagonal/>
    </border>
    <border>
      <left style="thin">
        <color theme="0"/>
      </left>
      <right/>
      <top/>
      <bottom/>
      <diagonal/>
    </border>
    <border>
      <left style="thin">
        <color indexed="64"/>
      </left>
      <right style="thin">
        <color indexed="64"/>
      </right>
      <top style="hair">
        <color indexed="64"/>
      </top>
      <bottom style="hair">
        <color rgb="FF0000CC"/>
      </bottom>
      <diagonal/>
    </border>
    <border>
      <left style="thin">
        <color indexed="64"/>
      </left>
      <right style="thin">
        <color indexed="64"/>
      </right>
      <top style="hair">
        <color rgb="FF0000CC"/>
      </top>
      <bottom style="hair">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theme="0"/>
      </right>
      <top/>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hair">
        <color theme="0"/>
      </bottom>
      <diagonal/>
    </border>
    <border>
      <left/>
      <right style="thin">
        <color theme="0"/>
      </right>
      <top style="thin">
        <color indexed="64"/>
      </top>
      <bottom style="hair">
        <color theme="0"/>
      </bottom>
      <diagonal/>
    </border>
    <border>
      <left style="thin">
        <color theme="0"/>
      </left>
      <right/>
      <top style="thin">
        <color indexed="64"/>
      </top>
      <bottom style="hair">
        <color theme="0"/>
      </bottom>
      <diagonal/>
    </border>
    <border>
      <left/>
      <right style="thin">
        <color indexed="64"/>
      </right>
      <top style="thin">
        <color indexed="64"/>
      </top>
      <bottom style="hair">
        <color theme="0"/>
      </bottom>
      <diagonal/>
    </border>
    <border>
      <left style="thin">
        <color indexed="64"/>
      </left>
      <right/>
      <top style="hair">
        <color theme="0"/>
      </top>
      <bottom/>
      <diagonal/>
    </border>
    <border>
      <left/>
      <right style="thin">
        <color theme="0"/>
      </right>
      <top style="hair">
        <color theme="0"/>
      </top>
      <bottom/>
      <diagonal/>
    </border>
    <border>
      <left style="thin">
        <color theme="0"/>
      </left>
      <right/>
      <top style="hair">
        <color theme="0"/>
      </top>
      <bottom/>
      <diagonal/>
    </border>
    <border>
      <left/>
      <right style="thin">
        <color indexed="64"/>
      </right>
      <top style="hair">
        <color theme="0"/>
      </top>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style="thin">
        <color theme="0"/>
      </top>
      <bottom style="thin">
        <color indexed="64"/>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right/>
      <top style="medium">
        <color theme="7" tint="-0.24994659260841701"/>
      </top>
      <bottom style="medium">
        <color theme="7" tint="-0.24994659260841701"/>
      </bottom>
      <diagonal/>
    </border>
    <border>
      <left/>
      <right style="medium">
        <color theme="7" tint="-0.24994659260841701"/>
      </right>
      <top style="medium">
        <color theme="7" tint="-0.24994659260841701"/>
      </top>
      <bottom style="medium">
        <color theme="7" tint="-0.24994659260841701"/>
      </bottom>
      <diagonal/>
    </border>
    <border>
      <left/>
      <right/>
      <top style="medium">
        <color theme="5" tint="-0.249977111117893"/>
      </top>
      <bottom style="medium">
        <color theme="5" tint="-0.24994659260841701"/>
      </bottom>
      <diagonal/>
    </border>
    <border>
      <left/>
      <right style="medium">
        <color theme="5" tint="-0.249977111117893"/>
      </right>
      <top style="medium">
        <color theme="5" tint="-0.249977111117893"/>
      </top>
      <bottom style="medium">
        <color theme="5" tint="-0.24994659260841701"/>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Dashed">
        <color theme="3"/>
      </left>
      <right style="thin">
        <color indexed="64"/>
      </right>
      <top style="mediumDashed">
        <color theme="3"/>
      </top>
      <bottom style="mediumDashed">
        <color theme="3"/>
      </bottom>
      <diagonal/>
    </border>
    <border>
      <left style="thin">
        <color indexed="64"/>
      </left>
      <right style="thin">
        <color indexed="64"/>
      </right>
      <top style="mediumDashed">
        <color theme="3"/>
      </top>
      <bottom style="mediumDashed">
        <color theme="3"/>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Dashed">
        <color theme="3"/>
      </left>
      <right/>
      <top style="mediumDashed">
        <color theme="3"/>
      </top>
      <bottom style="mediumDashed">
        <color theme="3"/>
      </bottom>
      <diagonal/>
    </border>
    <border>
      <left/>
      <right/>
      <top style="mediumDashed">
        <color theme="3"/>
      </top>
      <bottom style="mediumDashed">
        <color theme="3"/>
      </bottom>
      <diagonal/>
    </border>
    <border>
      <left/>
      <right style="thin">
        <color theme="3"/>
      </right>
      <top style="mediumDashed">
        <color theme="3"/>
      </top>
      <bottom style="mediumDashed">
        <color theme="3"/>
      </bottom>
      <diagonal/>
    </border>
    <border>
      <left style="thin">
        <color indexed="64"/>
      </left>
      <right/>
      <top style="thin">
        <color rgb="FF0070C0"/>
      </top>
      <bottom style="thin">
        <color indexed="64"/>
      </bottom>
      <diagonal/>
    </border>
    <border>
      <left/>
      <right style="thin">
        <color indexed="64"/>
      </right>
      <top style="thin">
        <color rgb="FF0070C0"/>
      </top>
      <bottom style="thin">
        <color indexed="64"/>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medium">
        <color indexed="64"/>
      </right>
      <top style="thin">
        <color theme="0"/>
      </top>
      <bottom/>
      <diagonal/>
    </border>
    <border>
      <left/>
      <right style="medium">
        <color indexed="64"/>
      </right>
      <top style="thin">
        <color theme="0"/>
      </top>
      <bottom style="thin">
        <color theme="0"/>
      </bottom>
      <diagonal/>
    </border>
    <border>
      <left/>
      <right style="medium">
        <color theme="1"/>
      </right>
      <top style="thin">
        <color theme="0"/>
      </top>
      <bottom/>
      <diagonal/>
    </border>
    <border>
      <left style="thin">
        <color theme="0"/>
      </left>
      <right style="thin">
        <color theme="0"/>
      </right>
      <top/>
      <bottom/>
      <diagonal/>
    </border>
    <border>
      <left style="thin">
        <color theme="3" tint="-0.24994659260841701"/>
      </left>
      <right style="thin">
        <color theme="3" tint="-0.24994659260841701"/>
      </right>
      <top style="thin">
        <color theme="3" tint="-0.24994659260841701"/>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rgb="FF005577"/>
      </top>
      <bottom/>
      <diagonal/>
    </border>
    <border>
      <left style="thin">
        <color rgb="FF005577"/>
      </left>
      <right/>
      <top style="thin">
        <color rgb="FF005577"/>
      </top>
      <bottom/>
      <diagonal/>
    </border>
    <border>
      <left/>
      <right style="thin">
        <color rgb="FF005577"/>
      </right>
      <top style="thin">
        <color rgb="FF005577"/>
      </top>
      <bottom/>
      <diagonal/>
    </border>
    <border>
      <left style="thin">
        <color rgb="FF005577"/>
      </left>
      <right/>
      <top/>
      <bottom style="thin">
        <color rgb="FF005577"/>
      </bottom>
      <diagonal/>
    </border>
    <border>
      <left/>
      <right/>
      <top/>
      <bottom style="thin">
        <color rgb="FF005577"/>
      </bottom>
      <diagonal/>
    </border>
    <border>
      <left/>
      <right style="thin">
        <color rgb="FF005577"/>
      </right>
      <top/>
      <bottom style="thin">
        <color rgb="FF005577"/>
      </bottom>
      <diagonal/>
    </border>
    <border>
      <left style="medium">
        <color rgb="FF00B9A5"/>
      </left>
      <right/>
      <top style="medium">
        <color rgb="FF00B9A5"/>
      </top>
      <bottom/>
      <diagonal/>
    </border>
    <border>
      <left/>
      <right/>
      <top style="medium">
        <color rgb="FF00B9A5"/>
      </top>
      <bottom/>
      <diagonal/>
    </border>
    <border>
      <left/>
      <right style="medium">
        <color rgb="FF00B9A5"/>
      </right>
      <top style="medium">
        <color rgb="FF00B9A5"/>
      </top>
      <bottom/>
      <diagonal/>
    </border>
    <border>
      <left style="medium">
        <color rgb="FF00B9A5"/>
      </left>
      <right/>
      <top/>
      <bottom/>
      <diagonal/>
    </border>
    <border>
      <left/>
      <right style="medium">
        <color rgb="FF00B9A5"/>
      </right>
      <top/>
      <bottom/>
      <diagonal/>
    </border>
    <border>
      <left style="medium">
        <color rgb="FF00B9A5"/>
      </left>
      <right/>
      <top/>
      <bottom style="medium">
        <color rgb="FF00B9A5"/>
      </bottom>
      <diagonal/>
    </border>
    <border>
      <left/>
      <right/>
      <top/>
      <bottom style="medium">
        <color rgb="FF00B9A5"/>
      </bottom>
      <diagonal/>
    </border>
    <border>
      <left/>
      <right style="medium">
        <color rgb="FF00B9A5"/>
      </right>
      <top/>
      <bottom style="medium">
        <color rgb="FF00B9A5"/>
      </bottom>
      <diagonal/>
    </border>
    <border>
      <left style="medium">
        <color rgb="FF005577"/>
      </left>
      <right style="medium">
        <color rgb="FF005577"/>
      </right>
      <top style="medium">
        <color rgb="FF005577"/>
      </top>
      <bottom style="medium">
        <color rgb="FF005577"/>
      </bottom>
      <diagonal/>
    </border>
    <border>
      <left style="medium">
        <color rgb="FF005577"/>
      </left>
      <right/>
      <top style="medium">
        <color rgb="FF005577"/>
      </top>
      <bottom style="medium">
        <color rgb="FF005577"/>
      </bottom>
      <diagonal/>
    </border>
    <border>
      <left/>
      <right/>
      <top style="medium">
        <color rgb="FF005577"/>
      </top>
      <bottom style="medium">
        <color rgb="FF005577"/>
      </bottom>
      <diagonal/>
    </border>
    <border>
      <left/>
      <right style="medium">
        <color rgb="FF005577"/>
      </right>
      <top style="medium">
        <color rgb="FF005577"/>
      </top>
      <bottom style="medium">
        <color rgb="FF005577"/>
      </bottom>
      <diagonal/>
    </border>
    <border>
      <left style="medium">
        <color rgb="FF005577"/>
      </left>
      <right style="thin">
        <color indexed="64"/>
      </right>
      <top style="medium">
        <color rgb="FF005577"/>
      </top>
      <bottom style="medium">
        <color rgb="FF005577"/>
      </bottom>
      <diagonal/>
    </border>
    <border>
      <left style="thin">
        <color indexed="64"/>
      </left>
      <right style="thin">
        <color indexed="64"/>
      </right>
      <top style="medium">
        <color rgb="FF005577"/>
      </top>
      <bottom style="medium">
        <color rgb="FF005577"/>
      </bottom>
      <diagonal/>
    </border>
    <border>
      <left style="thin">
        <color indexed="64"/>
      </left>
      <right style="medium">
        <color rgb="FF005577"/>
      </right>
      <top style="medium">
        <color rgb="FF005577"/>
      </top>
      <bottom style="medium">
        <color rgb="FF005577"/>
      </bottom>
      <diagonal/>
    </border>
    <border>
      <left style="thin">
        <color rgb="FF007E7E"/>
      </left>
      <right/>
      <top style="thin">
        <color rgb="FF007E7E"/>
      </top>
      <bottom/>
      <diagonal/>
    </border>
    <border>
      <left/>
      <right/>
      <top style="thin">
        <color rgb="FF007E7E"/>
      </top>
      <bottom/>
      <diagonal/>
    </border>
    <border>
      <left/>
      <right style="thin">
        <color rgb="FF007E7E"/>
      </right>
      <top style="thin">
        <color rgb="FF007E7E"/>
      </top>
      <bottom/>
      <diagonal/>
    </border>
    <border>
      <left style="thin">
        <color rgb="FF007E7E"/>
      </left>
      <right/>
      <top/>
      <bottom style="thin">
        <color rgb="FF007E7E"/>
      </bottom>
      <diagonal/>
    </border>
    <border>
      <left/>
      <right/>
      <top/>
      <bottom style="thin">
        <color rgb="FF007E7E"/>
      </bottom>
      <diagonal/>
    </border>
    <border>
      <left/>
      <right style="thin">
        <color rgb="FF007E7E"/>
      </right>
      <top/>
      <bottom style="thin">
        <color rgb="FF007E7E"/>
      </bottom>
      <diagonal/>
    </border>
  </borders>
  <cellStyleXfs count="47">
    <xf numFmtId="0" fontId="0" fillId="0" borderId="0"/>
    <xf numFmtId="0" fontId="125" fillId="0" borderId="0" applyNumberFormat="0" applyFill="0" applyBorder="0" applyAlignment="0" applyProtection="0">
      <alignment vertical="top"/>
      <protection locked="0"/>
    </xf>
    <xf numFmtId="44" fontId="12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24"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7" fillId="0" borderId="0"/>
    <xf numFmtId="173" fontId="1" fillId="0" borderId="0" applyFont="0" applyFill="0" applyBorder="0" applyAlignment="0" applyProtection="0"/>
    <xf numFmtId="173" fontId="1" fillId="0" borderId="0" applyFont="0" applyFill="0" applyBorder="0" applyAlignment="0" applyProtection="0"/>
    <xf numFmtId="0" fontId="275" fillId="0" borderId="0" applyNumberFormat="0" applyFill="0" applyBorder="0" applyAlignment="0" applyProtection="0">
      <alignment vertical="top"/>
      <protection locked="0"/>
    </xf>
    <xf numFmtId="0" fontId="276" fillId="0" borderId="0" applyNumberFormat="0" applyFill="0" applyBorder="0" applyAlignment="0" applyProtection="0">
      <alignment vertical="top"/>
      <protection locked="0"/>
    </xf>
    <xf numFmtId="174" fontId="267" fillId="0" borderId="0" applyFont="0" applyFill="0" applyBorder="0" applyAlignment="0" applyProtection="0"/>
    <xf numFmtId="0" fontId="267" fillId="0" borderId="0"/>
    <xf numFmtId="0" fontId="267" fillId="0" borderId="0"/>
    <xf numFmtId="0" fontId="124" fillId="0" borderId="0"/>
    <xf numFmtId="43" fontId="279" fillId="0" borderId="0" applyFont="0" applyFill="0" applyBorder="0" applyAlignment="0" applyProtection="0"/>
    <xf numFmtId="174" fontId="267" fillId="0" borderId="0" applyFont="0" applyFill="0" applyBorder="0" applyAlignment="0" applyProtection="0"/>
    <xf numFmtId="0" fontId="279" fillId="0" borderId="0"/>
    <xf numFmtId="164" fontId="1" fillId="0" borderId="0" applyFont="0" applyFill="0" applyBorder="0" applyAlignment="0" applyProtection="0"/>
    <xf numFmtId="0" fontId="267" fillId="0" borderId="0"/>
    <xf numFmtId="0" fontId="1" fillId="0" borderId="0"/>
    <xf numFmtId="0" fontId="1" fillId="0" borderId="0"/>
    <xf numFmtId="9" fontId="124" fillId="0" borderId="0" applyFont="0" applyFill="0" applyBorder="0" applyAlignment="0" applyProtection="0"/>
    <xf numFmtId="43" fontId="124" fillId="0" borderId="0" applyFont="0" applyFill="0" applyBorder="0" applyAlignment="0" applyProtection="0"/>
    <xf numFmtId="0" fontId="124"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24"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24" fillId="0" borderId="0"/>
    <xf numFmtId="44" fontId="1" fillId="0" borderId="0" applyFont="0" applyFill="0" applyBorder="0" applyAlignment="0" applyProtection="0"/>
    <xf numFmtId="43" fontId="124" fillId="0" borderId="0" applyFont="0" applyFill="0" applyBorder="0" applyAlignment="0" applyProtection="0"/>
    <xf numFmtId="9" fontId="124" fillId="0" borderId="0" applyFont="0" applyFill="0" applyBorder="0" applyAlignment="0" applyProtection="0"/>
    <xf numFmtId="177" fontId="1" fillId="0" borderId="0" applyFont="0" applyFill="0" applyBorder="0" applyAlignment="0" applyProtection="0"/>
    <xf numFmtId="176" fontId="1" fillId="0" borderId="0" applyFont="0" applyFill="0" applyBorder="0" applyAlignment="0" applyProtection="0"/>
    <xf numFmtId="0" fontId="279" fillId="0" borderId="0"/>
  </cellStyleXfs>
  <cellXfs count="2323">
    <xf numFmtId="0" fontId="0" fillId="0" borderId="0" xfId="0"/>
    <xf numFmtId="0" fontId="0" fillId="4" borderId="1" xfId="0" applyFill="1" applyBorder="1"/>
    <xf numFmtId="0" fontId="0" fillId="4" borderId="0" xfId="0" applyFill="1"/>
    <xf numFmtId="0" fontId="126" fillId="4" borderId="1" xfId="0" applyFont="1" applyFill="1" applyBorder="1" applyAlignment="1">
      <alignment horizontal="center" vertical="center"/>
    </xf>
    <xf numFmtId="0" fontId="0" fillId="4" borderId="2" xfId="0" applyFill="1" applyBorder="1"/>
    <xf numFmtId="0" fontId="0" fillId="5" borderId="3" xfId="0" applyFill="1" applyBorder="1"/>
    <xf numFmtId="0" fontId="1" fillId="2" borderId="4" xfId="4" applyFill="1" applyBorder="1" applyAlignment="1">
      <alignment vertical="center"/>
    </xf>
    <xf numFmtId="0" fontId="0" fillId="4" borderId="0" xfId="0" applyFill="1" applyBorder="1"/>
    <xf numFmtId="0" fontId="1" fillId="2" borderId="0" xfId="4" applyFill="1" applyBorder="1" applyAlignment="1">
      <alignment vertical="center"/>
    </xf>
    <xf numFmtId="0" fontId="2" fillId="2" borderId="0" xfId="4" applyFont="1" applyFill="1" applyBorder="1" applyAlignment="1">
      <alignment vertical="center"/>
    </xf>
    <xf numFmtId="0" fontId="0" fillId="4" borderId="5" xfId="0" applyFill="1" applyBorder="1"/>
    <xf numFmtId="0" fontId="127" fillId="5" borderId="3" xfId="0" applyFont="1" applyFill="1" applyBorder="1" applyAlignment="1">
      <alignment horizontal="center" vertical="center" wrapText="1"/>
    </xf>
    <xf numFmtId="0" fontId="0" fillId="4" borderId="0" xfId="0" applyFill="1" applyAlignment="1">
      <alignment wrapText="1"/>
    </xf>
    <xf numFmtId="0" fontId="127" fillId="5" borderId="3" xfId="0" applyFont="1" applyFill="1" applyBorder="1" applyAlignment="1">
      <alignment horizontal="left" vertical="top" wrapText="1"/>
    </xf>
    <xf numFmtId="0" fontId="127" fillId="4" borderId="6" xfId="0" applyFont="1" applyFill="1" applyBorder="1" applyAlignment="1">
      <alignment vertical="top" wrapText="1"/>
    </xf>
    <xf numFmtId="0" fontId="0" fillId="5" borderId="1" xfId="0" applyFont="1" applyFill="1" applyBorder="1"/>
    <xf numFmtId="0" fontId="0" fillId="5" borderId="1" xfId="0" applyFill="1" applyBorder="1"/>
    <xf numFmtId="0" fontId="128" fillId="4" borderId="0" xfId="0" applyFont="1" applyFill="1" applyBorder="1" applyAlignment="1">
      <alignment horizontal="center" vertical="center"/>
    </xf>
    <xf numFmtId="0" fontId="0" fillId="6" borderId="7" xfId="0" applyFill="1" applyBorder="1"/>
    <xf numFmtId="0" fontId="0" fillId="6" borderId="8" xfId="0" applyFill="1" applyBorder="1"/>
    <xf numFmtId="0" fontId="127" fillId="7" borderId="1" xfId="0" applyFont="1" applyFill="1" applyBorder="1" applyAlignment="1">
      <alignment vertical="center"/>
    </xf>
    <xf numFmtId="0" fontId="0" fillId="7" borderId="1" xfId="0" applyFont="1" applyFill="1" applyBorder="1" applyAlignment="1">
      <alignment vertical="center"/>
    </xf>
    <xf numFmtId="0" fontId="129" fillId="5" borderId="1" xfId="0" applyFont="1" applyFill="1" applyBorder="1" applyAlignment="1">
      <alignment horizontal="center" vertical="center" wrapText="1"/>
    </xf>
    <xf numFmtId="0" fontId="126" fillId="8" borderId="9" xfId="0" applyFont="1" applyFill="1" applyBorder="1" applyAlignment="1">
      <alignment vertical="center" wrapText="1"/>
    </xf>
    <xf numFmtId="0" fontId="126" fillId="8" borderId="10" xfId="0" applyFont="1" applyFill="1" applyBorder="1" applyAlignment="1">
      <alignment vertical="center" wrapText="1"/>
    </xf>
    <xf numFmtId="0" fontId="126" fillId="8" borderId="11" xfId="0" applyFont="1" applyFill="1" applyBorder="1" applyAlignment="1">
      <alignment vertical="center" wrapText="1"/>
    </xf>
    <xf numFmtId="0" fontId="0" fillId="5" borderId="3" xfId="0" applyFont="1" applyFill="1" applyBorder="1"/>
    <xf numFmtId="0" fontId="126" fillId="4" borderId="12" xfId="0" applyFont="1" applyFill="1" applyBorder="1" applyAlignment="1">
      <alignment horizontal="center" vertical="center" wrapText="1"/>
    </xf>
    <xf numFmtId="0" fontId="126" fillId="4" borderId="13" xfId="0" applyFont="1" applyFill="1" applyBorder="1" applyAlignment="1">
      <alignment horizontal="center" vertical="center" wrapText="1"/>
    </xf>
    <xf numFmtId="0" fontId="0" fillId="4" borderId="5" xfId="0" applyFont="1" applyFill="1" applyBorder="1"/>
    <xf numFmtId="0" fontId="126" fillId="9" borderId="14" xfId="0" applyFont="1" applyFill="1" applyBorder="1" applyAlignment="1">
      <alignment vertical="center" wrapText="1"/>
    </xf>
    <xf numFmtId="0" fontId="126" fillId="9" borderId="15" xfId="0" applyFont="1" applyFill="1" applyBorder="1" applyAlignment="1">
      <alignment vertical="center" wrapText="1"/>
    </xf>
    <xf numFmtId="0" fontId="0" fillId="4" borderId="0" xfId="0" applyFont="1" applyFill="1"/>
    <xf numFmtId="0" fontId="130" fillId="7" borderId="1" xfId="0" applyFont="1" applyFill="1" applyBorder="1" applyAlignment="1">
      <alignment horizontal="center" vertical="center" wrapText="1"/>
    </xf>
    <xf numFmtId="0" fontId="130" fillId="7" borderId="16" xfId="0" applyFont="1" applyFill="1" applyBorder="1" applyAlignment="1">
      <alignment horizontal="center" vertical="center" wrapText="1"/>
    </xf>
    <xf numFmtId="0" fontId="130" fillId="5" borderId="1" xfId="0" applyFont="1" applyFill="1" applyBorder="1" applyAlignment="1">
      <alignment horizontal="center" vertical="center" wrapText="1"/>
    </xf>
    <xf numFmtId="0" fontId="127" fillId="4" borderId="5" xfId="0" applyFont="1" applyFill="1" applyBorder="1"/>
    <xf numFmtId="0" fontId="130" fillId="6" borderId="8" xfId="0" applyFont="1" applyFill="1" applyBorder="1" applyAlignment="1">
      <alignment horizontal="center" vertical="center"/>
    </xf>
    <xf numFmtId="0" fontId="127" fillId="6" borderId="7" xfId="0" applyFont="1" applyFill="1" applyBorder="1" applyAlignment="1">
      <alignment horizontal="center" vertical="center"/>
    </xf>
    <xf numFmtId="0" fontId="127" fillId="6" borderId="8" xfId="0" applyFont="1" applyFill="1" applyBorder="1" applyAlignment="1">
      <alignment horizontal="center" vertical="center"/>
    </xf>
    <xf numFmtId="0" fontId="127" fillId="4" borderId="1" xfId="0" applyFont="1" applyFill="1" applyBorder="1" applyAlignment="1">
      <alignment vertical="top" wrapText="1"/>
    </xf>
    <xf numFmtId="0" fontId="127" fillId="4" borderId="1" xfId="0" applyFont="1" applyFill="1" applyBorder="1" applyAlignment="1">
      <alignment vertical="top"/>
    </xf>
    <xf numFmtId="0" fontId="127" fillId="5" borderId="1" xfId="0" applyFont="1" applyFill="1" applyBorder="1" applyAlignment="1">
      <alignment horizontal="center" vertical="center"/>
    </xf>
    <xf numFmtId="0" fontId="127" fillId="4" borderId="8" xfId="0" applyFont="1" applyFill="1" applyBorder="1"/>
    <xf numFmtId="0" fontId="127" fillId="4" borderId="17" xfId="0" applyFont="1" applyFill="1" applyBorder="1" applyAlignment="1">
      <alignment vertical="top" wrapText="1"/>
    </xf>
    <xf numFmtId="0" fontId="126" fillId="4" borderId="2" xfId="0" applyFont="1" applyFill="1" applyBorder="1" applyAlignment="1">
      <alignment horizontal="center" vertical="center"/>
    </xf>
    <xf numFmtId="0" fontId="126" fillId="4" borderId="18" xfId="0" applyFont="1" applyFill="1" applyBorder="1" applyAlignment="1">
      <alignment horizontal="center" vertical="center"/>
    </xf>
    <xf numFmtId="0" fontId="126" fillId="4" borderId="19" xfId="0" applyFont="1" applyFill="1" applyBorder="1" applyAlignment="1">
      <alignment horizontal="center" vertical="center"/>
    </xf>
    <xf numFmtId="0" fontId="126" fillId="10" borderId="19" xfId="0" applyFont="1" applyFill="1" applyBorder="1" applyAlignment="1">
      <alignment vertical="center"/>
    </xf>
    <xf numFmtId="0" fontId="126" fillId="10" borderId="20" xfId="0" applyFont="1" applyFill="1" applyBorder="1" applyAlignment="1">
      <alignment vertical="center"/>
    </xf>
    <xf numFmtId="0" fontId="127" fillId="4" borderId="1" xfId="0" applyFont="1" applyFill="1" applyBorder="1" applyAlignment="1">
      <alignment horizontal="center" vertical="center"/>
    </xf>
    <xf numFmtId="0" fontId="130" fillId="4" borderId="1" xfId="0" applyFont="1" applyFill="1" applyBorder="1" applyAlignment="1">
      <alignment horizontal="center" vertical="center" wrapText="1"/>
    </xf>
    <xf numFmtId="0" fontId="127" fillId="4" borderId="1" xfId="0" applyFont="1" applyFill="1" applyBorder="1" applyAlignment="1">
      <alignment horizontal="center" vertical="center" wrapText="1"/>
    </xf>
    <xf numFmtId="0" fontId="126" fillId="4" borderId="19" xfId="0" applyFont="1" applyFill="1" applyBorder="1" applyAlignment="1">
      <alignment horizontal="center" vertical="center" wrapText="1"/>
    </xf>
    <xf numFmtId="0" fontId="126" fillId="8" borderId="21" xfId="0" applyFont="1" applyFill="1" applyBorder="1" applyAlignment="1">
      <alignment horizontal="center" vertical="center" wrapText="1"/>
    </xf>
    <xf numFmtId="0" fontId="127" fillId="5" borderId="1" xfId="0" applyFont="1" applyFill="1" applyBorder="1" applyAlignment="1">
      <alignment horizontal="center" vertical="center" wrapText="1"/>
    </xf>
    <xf numFmtId="0" fontId="129" fillId="4" borderId="1" xfId="0" applyFont="1" applyFill="1" applyBorder="1" applyAlignment="1">
      <alignment horizontal="left" vertical="top" wrapText="1"/>
    </xf>
    <xf numFmtId="0" fontId="127" fillId="5" borderId="1" xfId="0" applyFont="1" applyFill="1" applyBorder="1" applyAlignment="1">
      <alignment horizontal="left" vertical="top" wrapText="1"/>
    </xf>
    <xf numFmtId="0" fontId="126" fillId="8" borderId="22" xfId="0" applyFont="1" applyFill="1" applyBorder="1" applyAlignment="1">
      <alignment vertical="center" wrapText="1"/>
    </xf>
    <xf numFmtId="0" fontId="127" fillId="4" borderId="2" xfId="0" applyFont="1" applyFill="1" applyBorder="1" applyAlignment="1">
      <alignment vertical="top" wrapText="1"/>
    </xf>
    <xf numFmtId="0" fontId="130" fillId="5" borderId="8" xfId="0" applyFont="1" applyFill="1" applyBorder="1" applyAlignment="1">
      <alignment horizontal="center" vertical="center" wrapText="1"/>
    </xf>
    <xf numFmtId="0" fontId="0" fillId="5" borderId="8" xfId="0" applyFont="1" applyFill="1" applyBorder="1"/>
    <xf numFmtId="0" fontId="0" fillId="5" borderId="8" xfId="0" applyFill="1" applyBorder="1"/>
    <xf numFmtId="0" fontId="127" fillId="4" borderId="8" xfId="0" applyFont="1" applyFill="1" applyBorder="1" applyAlignment="1">
      <alignment vertical="top" wrapText="1"/>
    </xf>
    <xf numFmtId="0" fontId="127" fillId="7" borderId="16" xfId="0" applyFont="1" applyFill="1" applyBorder="1" applyAlignment="1">
      <alignment horizontal="center" vertical="center" wrapText="1"/>
    </xf>
    <xf numFmtId="2" fontId="0" fillId="4" borderId="0" xfId="0" applyNumberFormat="1" applyFill="1"/>
    <xf numFmtId="0" fontId="131" fillId="4" borderId="0" xfId="0" applyNumberFormat="1" applyFont="1" applyFill="1"/>
    <xf numFmtId="0" fontId="131" fillId="4" borderId="0" xfId="0" applyFont="1" applyFill="1"/>
    <xf numFmtId="0" fontId="132" fillId="4" borderId="1" xfId="0" applyFont="1" applyFill="1" applyBorder="1" applyAlignment="1">
      <alignment horizontal="center" vertical="center" wrapText="1"/>
    </xf>
    <xf numFmtId="0" fontId="133" fillId="4" borderId="0" xfId="0" applyFont="1" applyFill="1" applyAlignment="1">
      <alignment vertical="center" wrapText="1"/>
    </xf>
    <xf numFmtId="0" fontId="127" fillId="4" borderId="16" xfId="0" applyFont="1" applyFill="1" applyBorder="1" applyAlignment="1">
      <alignment horizontal="left" vertical="top"/>
    </xf>
    <xf numFmtId="0" fontId="127" fillId="7" borderId="16" xfId="0" applyFont="1" applyFill="1" applyBorder="1" applyAlignment="1">
      <alignment horizontal="left" vertical="top" wrapText="1"/>
    </xf>
    <xf numFmtId="0" fontId="130" fillId="11" borderId="3" xfId="0" applyFont="1" applyFill="1" applyBorder="1" applyAlignment="1">
      <alignment horizontal="center" vertical="center" wrapText="1"/>
    </xf>
    <xf numFmtId="0" fontId="130" fillId="11" borderId="1" xfId="0" applyFont="1" applyFill="1" applyBorder="1" applyAlignment="1">
      <alignment horizontal="center" vertical="center" wrapText="1"/>
    </xf>
    <xf numFmtId="0" fontId="130" fillId="11" borderId="17" xfId="0" applyFont="1" applyFill="1" applyBorder="1" applyAlignment="1">
      <alignment horizontal="center" vertical="center"/>
    </xf>
    <xf numFmtId="0" fontId="127" fillId="0" borderId="0" xfId="0" applyFont="1"/>
    <xf numFmtId="0" fontId="127" fillId="12" borderId="1" xfId="0" applyFont="1" applyFill="1" applyBorder="1" applyAlignment="1">
      <alignment vertical="center"/>
    </xf>
    <xf numFmtId="0" fontId="127" fillId="0" borderId="19" xfId="0" applyFont="1" applyBorder="1" applyAlignment="1">
      <alignment vertical="center" wrapText="1"/>
    </xf>
    <xf numFmtId="0" fontId="127" fillId="0" borderId="19" xfId="0" applyFont="1" applyBorder="1" applyAlignment="1">
      <alignment vertical="center"/>
    </xf>
    <xf numFmtId="0" fontId="127" fillId="11" borderId="0" xfId="0" applyFont="1" applyFill="1"/>
    <xf numFmtId="0" fontId="127" fillId="0" borderId="0" xfId="0" applyFont="1" applyFill="1"/>
    <xf numFmtId="0" fontId="134" fillId="4" borderId="0" xfId="4" applyFont="1" applyFill="1" applyBorder="1" applyAlignment="1" applyProtection="1">
      <alignment horizontal="center" vertical="center" wrapText="1"/>
    </xf>
    <xf numFmtId="0" fontId="127" fillId="4" borderId="0" xfId="0" applyFont="1" applyFill="1"/>
    <xf numFmtId="0" fontId="53" fillId="4" borderId="3" xfId="4" applyFont="1" applyFill="1" applyBorder="1" applyAlignment="1" applyProtection="1">
      <alignment vertical="center"/>
    </xf>
    <xf numFmtId="3" fontId="15" fillId="13" borderId="3" xfId="4" applyNumberFormat="1" applyFont="1" applyFill="1" applyBorder="1" applyAlignment="1" applyProtection="1">
      <alignment horizontal="center"/>
    </xf>
    <xf numFmtId="3" fontId="15" fillId="13" borderId="3" xfId="4" applyNumberFormat="1" applyFont="1" applyFill="1" applyBorder="1" applyAlignment="1" applyProtection="1">
      <alignment horizontal="center" vertical="center"/>
    </xf>
    <xf numFmtId="3" fontId="53" fillId="13" borderId="3" xfId="4" applyNumberFormat="1" applyFont="1" applyFill="1" applyBorder="1" applyAlignment="1" applyProtection="1">
      <alignment horizontal="center" vertical="center"/>
    </xf>
    <xf numFmtId="3" fontId="53" fillId="4" borderId="23" xfId="4" applyNumberFormat="1" applyFont="1" applyFill="1" applyBorder="1" applyAlignment="1" applyProtection="1">
      <alignment horizontal="center" vertical="center"/>
    </xf>
    <xf numFmtId="3" fontId="79" fillId="14" borderId="19" xfId="4" applyNumberFormat="1" applyFont="1" applyFill="1" applyBorder="1" applyAlignment="1" applyProtection="1">
      <alignment horizontal="center" vertical="center"/>
    </xf>
    <xf numFmtId="3" fontId="53" fillId="4" borderId="19" xfId="4" applyNumberFormat="1" applyFont="1" applyFill="1" applyBorder="1" applyAlignment="1" applyProtection="1">
      <alignment horizontal="center" vertical="center"/>
    </xf>
    <xf numFmtId="3" fontId="48" fillId="15" borderId="16" xfId="4" applyNumberFormat="1" applyFont="1" applyFill="1" applyBorder="1" applyAlignment="1" applyProtection="1">
      <alignment horizontal="center" vertical="center"/>
    </xf>
    <xf numFmtId="3" fontId="53" fillId="13" borderId="2" xfId="4" applyNumberFormat="1" applyFont="1" applyFill="1" applyBorder="1" applyAlignment="1" applyProtection="1">
      <alignment horizontal="center"/>
    </xf>
    <xf numFmtId="3" fontId="135" fillId="14" borderId="19" xfId="4" applyNumberFormat="1" applyFont="1" applyFill="1" applyBorder="1" applyAlignment="1" applyProtection="1">
      <alignment horizontal="center" vertical="center"/>
    </xf>
    <xf numFmtId="166" fontId="48" fillId="15" borderId="19" xfId="4" applyNumberFormat="1" applyFont="1" applyFill="1" applyBorder="1" applyAlignment="1" applyProtection="1">
      <alignment horizontal="center" vertical="center"/>
    </xf>
    <xf numFmtId="166" fontId="48" fillId="15" borderId="24" xfId="4" applyNumberFormat="1" applyFont="1" applyFill="1" applyBorder="1" applyAlignment="1" applyProtection="1">
      <alignment horizontal="center" vertical="center"/>
    </xf>
    <xf numFmtId="3" fontId="53" fillId="4" borderId="25" xfId="4" applyNumberFormat="1" applyFont="1" applyFill="1" applyBorder="1" applyAlignment="1" applyProtection="1">
      <alignment horizontal="center" vertical="center"/>
    </xf>
    <xf numFmtId="3" fontId="81" fillId="11" borderId="19" xfId="4" applyNumberFormat="1" applyFont="1" applyFill="1" applyBorder="1" applyAlignment="1" applyProtection="1">
      <alignment horizontal="center" vertical="center"/>
    </xf>
    <xf numFmtId="3" fontId="48" fillId="16" borderId="16" xfId="4" applyNumberFormat="1" applyFont="1" applyFill="1" applyBorder="1" applyAlignment="1" applyProtection="1">
      <alignment horizontal="center" vertical="center"/>
    </xf>
    <xf numFmtId="3" fontId="53" fillId="4" borderId="17" xfId="4" applyNumberFormat="1" applyFont="1" applyFill="1" applyBorder="1" applyAlignment="1" applyProtection="1">
      <alignment horizontal="center" vertical="center"/>
    </xf>
    <xf numFmtId="3" fontId="136" fillId="17" borderId="1" xfId="4" applyNumberFormat="1" applyFont="1" applyFill="1" applyBorder="1" applyAlignment="1" applyProtection="1">
      <alignment horizontal="center" vertical="center"/>
    </xf>
    <xf numFmtId="3" fontId="53" fillId="4" borderId="1" xfId="4" applyNumberFormat="1" applyFont="1" applyFill="1" applyBorder="1" applyAlignment="1" applyProtection="1">
      <alignment horizontal="center" vertical="center"/>
    </xf>
    <xf numFmtId="3" fontId="48" fillId="18" borderId="1" xfId="4" applyNumberFormat="1" applyFont="1" applyFill="1" applyBorder="1" applyAlignment="1" applyProtection="1">
      <alignment horizontal="center" vertical="center"/>
    </xf>
    <xf numFmtId="3" fontId="17" fillId="4" borderId="1" xfId="4" applyNumberFormat="1" applyFont="1" applyFill="1" applyBorder="1" applyAlignment="1" applyProtection="1">
      <alignment horizontal="center" vertical="center"/>
    </xf>
    <xf numFmtId="3" fontId="82" fillId="4" borderId="8" xfId="4" applyNumberFormat="1" applyFont="1" applyFill="1" applyBorder="1" applyAlignment="1" applyProtection="1">
      <alignment horizontal="center" vertical="center"/>
    </xf>
    <xf numFmtId="3" fontId="82" fillId="4" borderId="1" xfId="4" applyNumberFormat="1" applyFont="1" applyFill="1" applyBorder="1" applyAlignment="1" applyProtection="1">
      <alignment horizontal="center" vertical="center"/>
    </xf>
    <xf numFmtId="3" fontId="53" fillId="4" borderId="25" xfId="4" applyNumberFormat="1" applyFont="1" applyFill="1" applyBorder="1" applyAlignment="1" applyProtection="1">
      <alignment horizontal="center" vertical="center"/>
      <protection locked="0"/>
    </xf>
    <xf numFmtId="3" fontId="53" fillId="4" borderId="19" xfId="4" applyNumberFormat="1" applyFont="1" applyFill="1" applyBorder="1" applyAlignment="1" applyProtection="1">
      <alignment horizontal="center" vertical="center"/>
      <protection locked="0"/>
    </xf>
    <xf numFmtId="3" fontId="90" fillId="4" borderId="19" xfId="4" applyNumberFormat="1" applyFont="1" applyFill="1" applyBorder="1" applyAlignment="1" applyProtection="1">
      <alignment horizontal="center" vertical="center"/>
      <protection locked="0"/>
    </xf>
    <xf numFmtId="3" fontId="53" fillId="4" borderId="26" xfId="4" applyNumberFormat="1" applyFont="1" applyFill="1" applyBorder="1" applyAlignment="1" applyProtection="1">
      <alignment horizontal="center" vertical="center"/>
      <protection locked="0"/>
    </xf>
    <xf numFmtId="0" fontId="0" fillId="4" borderId="0" xfId="0" applyFill="1" applyProtection="1"/>
    <xf numFmtId="0" fontId="137" fillId="4" borderId="0" xfId="0" applyFont="1" applyFill="1" applyBorder="1" applyAlignment="1" applyProtection="1">
      <alignment horizontal="left" vertical="center" wrapText="1"/>
    </xf>
    <xf numFmtId="0" fontId="137" fillId="4" borderId="0" xfId="0" applyFont="1" applyFill="1" applyAlignment="1" applyProtection="1">
      <alignment horizontal="center" vertical="center" wrapText="1"/>
    </xf>
    <xf numFmtId="0" fontId="138" fillId="4" borderId="0" xfId="0" applyFont="1" applyFill="1" applyAlignment="1" applyProtection="1">
      <alignment horizontal="left" vertical="top" wrapText="1"/>
    </xf>
    <xf numFmtId="0" fontId="139" fillId="4" borderId="0" xfId="0" applyFont="1" applyFill="1" applyBorder="1" applyAlignment="1" applyProtection="1">
      <alignment vertical="top" wrapText="1"/>
    </xf>
    <xf numFmtId="0" fontId="140" fillId="4" borderId="0" xfId="0" applyFont="1" applyFill="1" applyBorder="1" applyAlignment="1" applyProtection="1">
      <alignment vertical="top" wrapText="1"/>
    </xf>
    <xf numFmtId="0" fontId="140" fillId="4" borderId="0" xfId="0" applyFont="1" applyFill="1" applyBorder="1" applyAlignment="1" applyProtection="1">
      <alignment horizontal="center" vertical="top" wrapText="1"/>
    </xf>
    <xf numFmtId="0" fontId="0" fillId="4" borderId="0" xfId="0" applyFill="1" applyBorder="1" applyProtection="1"/>
    <xf numFmtId="0" fontId="144" fillId="4" borderId="0" xfId="0" applyFont="1" applyFill="1" applyBorder="1" applyAlignment="1" applyProtection="1">
      <alignment vertical="top" wrapText="1"/>
    </xf>
    <xf numFmtId="0" fontId="142" fillId="4" borderId="0" xfId="0" applyFont="1" applyFill="1" applyBorder="1" applyAlignment="1" applyProtection="1">
      <alignment vertical="top" wrapText="1"/>
    </xf>
    <xf numFmtId="0" fontId="145" fillId="4" borderId="0" xfId="0" applyFont="1" applyFill="1" applyBorder="1" applyAlignment="1" applyProtection="1">
      <alignment vertical="top" wrapText="1"/>
    </xf>
    <xf numFmtId="0" fontId="143" fillId="4" borderId="0" xfId="0" applyFont="1" applyFill="1" applyBorder="1" applyProtection="1"/>
    <xf numFmtId="0" fontId="143" fillId="4" borderId="0" xfId="0" applyFont="1" applyFill="1" applyAlignment="1" applyProtection="1">
      <alignment vertical="center"/>
    </xf>
    <xf numFmtId="9" fontId="143" fillId="4" borderId="0" xfId="6" applyFont="1" applyFill="1" applyAlignment="1" applyProtection="1">
      <alignment vertical="center"/>
    </xf>
    <xf numFmtId="0" fontId="137" fillId="4" borderId="11" xfId="0" applyFont="1" applyFill="1" applyBorder="1" applyAlignment="1" applyProtection="1">
      <alignment vertical="center"/>
    </xf>
    <xf numFmtId="0" fontId="143" fillId="4" borderId="3" xfId="0" applyFont="1" applyFill="1" applyBorder="1" applyAlignment="1" applyProtection="1">
      <alignment vertical="center"/>
    </xf>
    <xf numFmtId="4" fontId="150" fillId="4" borderId="11" xfId="0" applyNumberFormat="1" applyFont="1" applyFill="1" applyBorder="1" applyAlignment="1" applyProtection="1">
      <alignment vertical="center"/>
    </xf>
    <xf numFmtId="4" fontId="150" fillId="4" borderId="3" xfId="0" applyNumberFormat="1" applyFont="1" applyFill="1" applyBorder="1" applyAlignment="1" applyProtection="1">
      <alignment vertical="center"/>
    </xf>
    <xf numFmtId="4" fontId="150" fillId="4" borderId="30" xfId="0" applyNumberFormat="1" applyFont="1" applyFill="1" applyBorder="1" applyAlignment="1" applyProtection="1">
      <alignment vertical="center"/>
    </xf>
    <xf numFmtId="0" fontId="138" fillId="4" borderId="0" xfId="0" applyFont="1" applyFill="1" applyProtection="1"/>
    <xf numFmtId="0" fontId="134" fillId="4" borderId="0" xfId="0" applyFont="1" applyFill="1" applyBorder="1" applyAlignment="1" applyProtection="1">
      <alignment vertical="center"/>
    </xf>
    <xf numFmtId="0" fontId="138" fillId="4" borderId="0" xfId="0" applyFont="1" applyFill="1" applyBorder="1" applyProtection="1"/>
    <xf numFmtId="4" fontId="151" fillId="4" borderId="12" xfId="0" applyNumberFormat="1" applyFont="1" applyFill="1" applyBorder="1" applyAlignment="1" applyProtection="1">
      <alignment horizontal="center" vertical="center"/>
    </xf>
    <xf numFmtId="0" fontId="143" fillId="4" borderId="0" xfId="0" applyFont="1" applyFill="1" applyProtection="1">
      <protection locked="0"/>
    </xf>
    <xf numFmtId="0" fontId="143" fillId="4" borderId="0" xfId="0" applyFont="1" applyFill="1" applyProtection="1"/>
    <xf numFmtId="0" fontId="138" fillId="21" borderId="31" xfId="0" applyFont="1" applyFill="1" applyBorder="1" applyProtection="1"/>
    <xf numFmtId="0" fontId="148" fillId="21" borderId="32" xfId="0" applyFont="1" applyFill="1" applyBorder="1" applyProtection="1"/>
    <xf numFmtId="0" fontId="143" fillId="21" borderId="32" xfId="0" applyFont="1" applyFill="1" applyBorder="1" applyProtection="1"/>
    <xf numFmtId="0" fontId="149" fillId="20" borderId="33" xfId="0" applyFont="1" applyFill="1" applyBorder="1" applyProtection="1"/>
    <xf numFmtId="0" fontId="153" fillId="4" borderId="34" xfId="0" applyFont="1" applyFill="1" applyBorder="1" applyAlignment="1" applyProtection="1">
      <alignment vertical="center"/>
    </xf>
    <xf numFmtId="0" fontId="154" fillId="4" borderId="0" xfId="0" applyFont="1" applyFill="1" applyBorder="1" applyAlignment="1" applyProtection="1">
      <alignment horizontal="center" vertical="center"/>
    </xf>
    <xf numFmtId="0" fontId="154" fillId="4" borderId="30" xfId="0" applyFont="1" applyFill="1" applyBorder="1" applyAlignment="1" applyProtection="1">
      <alignment horizontal="center" vertical="center"/>
    </xf>
    <xf numFmtId="0" fontId="155" fillId="4" borderId="34" xfId="0" applyFont="1" applyFill="1" applyBorder="1" applyAlignment="1" applyProtection="1">
      <alignment vertical="center"/>
    </xf>
    <xf numFmtId="0" fontId="156" fillId="4" borderId="11" xfId="0" applyFont="1" applyFill="1" applyBorder="1" applyAlignment="1" applyProtection="1">
      <alignment horizontal="center" vertical="center"/>
    </xf>
    <xf numFmtId="0" fontId="157" fillId="4" borderId="0" xfId="0" applyFont="1" applyFill="1" applyBorder="1" applyAlignment="1" applyProtection="1">
      <alignment vertical="center"/>
    </xf>
    <xf numFmtId="0" fontId="157" fillId="4" borderId="30" xfId="0" applyFont="1" applyFill="1" applyBorder="1" applyAlignment="1" applyProtection="1">
      <alignment vertical="center"/>
    </xf>
    <xf numFmtId="0" fontId="157" fillId="4" borderId="0" xfId="0" applyFont="1" applyFill="1" applyBorder="1" applyAlignment="1" applyProtection="1">
      <alignment vertical="top"/>
    </xf>
    <xf numFmtId="0" fontId="157" fillId="4" borderId="30" xfId="0" applyFont="1" applyFill="1" applyBorder="1" applyAlignment="1" applyProtection="1">
      <alignment vertical="top"/>
    </xf>
    <xf numFmtId="0" fontId="155" fillId="4" borderId="35" xfId="0" applyFont="1" applyFill="1" applyBorder="1" applyAlignment="1" applyProtection="1">
      <alignment horizontal="right" vertical="center"/>
    </xf>
    <xf numFmtId="0" fontId="158" fillId="4" borderId="36" xfId="0" applyFont="1" applyFill="1" applyBorder="1" applyAlignment="1" applyProtection="1">
      <alignment horizontal="center" vertical="center"/>
    </xf>
    <xf numFmtId="0" fontId="158" fillId="4" borderId="36" xfId="0" applyFont="1" applyFill="1" applyBorder="1" applyAlignment="1" applyProtection="1">
      <alignment horizontal="left" vertical="center"/>
    </xf>
    <xf numFmtId="0" fontId="157" fillId="4" borderId="37" xfId="0" applyFont="1" applyFill="1" applyBorder="1" applyAlignment="1" applyProtection="1">
      <alignment vertical="top"/>
    </xf>
    <xf numFmtId="0" fontId="143" fillId="0" borderId="0" xfId="0" applyFont="1" applyProtection="1"/>
    <xf numFmtId="4" fontId="159" fillId="10" borderId="128" xfId="0" applyNumberFormat="1" applyFont="1" applyFill="1" applyBorder="1" applyAlignment="1" applyProtection="1">
      <alignment horizontal="right" vertical="center"/>
    </xf>
    <xf numFmtId="0" fontId="138" fillId="10" borderId="129" xfId="0" applyFont="1" applyFill="1" applyBorder="1" applyAlignment="1" applyProtection="1">
      <alignment horizontal="right" vertical="center"/>
    </xf>
    <xf numFmtId="4" fontId="159" fillId="10" borderId="130" xfId="0" quotePrefix="1" applyNumberFormat="1" applyFont="1" applyFill="1" applyBorder="1" applyAlignment="1" applyProtection="1">
      <alignment horizontal="right" vertical="center"/>
    </xf>
    <xf numFmtId="4" fontId="159" fillId="10" borderId="130" xfId="0" applyNumberFormat="1" applyFont="1" applyFill="1" applyBorder="1" applyAlignment="1" applyProtection="1">
      <alignment horizontal="right" vertical="center"/>
    </xf>
    <xf numFmtId="2" fontId="159" fillId="10" borderId="128" xfId="0" applyNumberFormat="1" applyFont="1" applyFill="1" applyBorder="1" applyAlignment="1" applyProtection="1">
      <alignment horizontal="right" vertical="center"/>
    </xf>
    <xf numFmtId="2" fontId="159" fillId="10" borderId="130" xfId="0" quotePrefix="1" applyNumberFormat="1" applyFont="1" applyFill="1" applyBorder="1" applyAlignment="1" applyProtection="1">
      <alignment horizontal="right" vertical="center"/>
    </xf>
    <xf numFmtId="2" fontId="159" fillId="10" borderId="130" xfId="0" applyNumberFormat="1" applyFont="1" applyFill="1" applyBorder="1" applyAlignment="1" applyProtection="1">
      <alignment horizontal="right" vertical="center"/>
    </xf>
    <xf numFmtId="0" fontId="155" fillId="4" borderId="0" xfId="0" applyFont="1" applyFill="1" applyBorder="1" applyAlignment="1" applyProtection="1">
      <alignment horizontal="right" vertical="center"/>
    </xf>
    <xf numFmtId="0" fontId="158" fillId="4" borderId="0" xfId="0" applyFont="1" applyFill="1" applyBorder="1" applyAlignment="1" applyProtection="1">
      <alignment horizontal="center" vertical="center"/>
    </xf>
    <xf numFmtId="0" fontId="15" fillId="4" borderId="0" xfId="0" applyFont="1" applyFill="1" applyBorder="1" applyAlignment="1" applyProtection="1">
      <alignment vertical="center"/>
    </xf>
    <xf numFmtId="0" fontId="138" fillId="19" borderId="31" xfId="0" applyFont="1" applyFill="1" applyBorder="1" applyProtection="1"/>
    <xf numFmtId="0" fontId="48" fillId="4" borderId="0" xfId="0" applyFont="1" applyFill="1" applyBorder="1" applyAlignment="1" applyProtection="1">
      <alignment horizontal="center" vertical="center"/>
    </xf>
    <xf numFmtId="0" fontId="148" fillId="19" borderId="32" xfId="0" applyFont="1" applyFill="1" applyBorder="1" applyProtection="1"/>
    <xf numFmtId="0" fontId="143" fillId="4" borderId="0" xfId="0" applyFont="1" applyFill="1" applyBorder="1" applyAlignment="1" applyProtection="1">
      <alignment vertical="center"/>
    </xf>
    <xf numFmtId="0" fontId="143" fillId="19" borderId="32" xfId="0" applyFont="1" applyFill="1" applyBorder="1" applyProtection="1"/>
    <xf numFmtId="0" fontId="149" fillId="22" borderId="33" xfId="0" applyFont="1" applyFill="1" applyBorder="1" applyProtection="1"/>
    <xf numFmtId="0" fontId="49" fillId="4" borderId="0" xfId="0" applyFont="1" applyFill="1" applyBorder="1" applyAlignment="1" applyProtection="1">
      <alignment vertical="center"/>
    </xf>
    <xf numFmtId="0" fontId="13" fillId="4" borderId="0" xfId="0" applyFont="1" applyFill="1" applyBorder="1" applyAlignment="1" applyProtection="1">
      <alignment horizontal="left" vertical="center" indent="2"/>
    </xf>
    <xf numFmtId="0" fontId="48" fillId="23" borderId="0" xfId="0" applyFont="1" applyFill="1" applyBorder="1" applyAlignment="1" applyProtection="1">
      <alignment horizontal="center" vertical="center"/>
    </xf>
    <xf numFmtId="0" fontId="13" fillId="4" borderId="0" xfId="0" applyFont="1" applyFill="1" applyBorder="1" applyAlignment="1" applyProtection="1">
      <alignment vertical="center"/>
    </xf>
    <xf numFmtId="9" fontId="160" fillId="5" borderId="131" xfId="0" applyNumberFormat="1" applyFont="1" applyFill="1" applyBorder="1" applyAlignment="1" applyProtection="1">
      <alignment vertical="center"/>
    </xf>
    <xf numFmtId="9" fontId="160" fillId="5" borderId="132" xfId="0" applyNumberFormat="1" applyFont="1" applyFill="1" applyBorder="1" applyAlignment="1" applyProtection="1">
      <alignment vertical="center"/>
    </xf>
    <xf numFmtId="0" fontId="155" fillId="4" borderId="0" xfId="0" applyFont="1" applyFill="1" applyBorder="1" applyAlignment="1" applyProtection="1">
      <alignment vertical="center"/>
    </xf>
    <xf numFmtId="0" fontId="138" fillId="4" borderId="0" xfId="0" applyFont="1" applyFill="1" applyBorder="1" applyAlignment="1" applyProtection="1">
      <alignment vertical="top" wrapText="1"/>
    </xf>
    <xf numFmtId="2" fontId="159" fillId="5" borderId="130" xfId="0" applyNumberFormat="1" applyFont="1" applyFill="1" applyBorder="1" applyAlignment="1" applyProtection="1">
      <alignment horizontal="right" vertical="center"/>
    </xf>
    <xf numFmtId="0" fontId="157" fillId="5" borderId="129" xfId="0" applyFont="1" applyFill="1" applyBorder="1" applyAlignment="1" applyProtection="1">
      <alignment vertical="center"/>
    </xf>
    <xf numFmtId="4" fontId="159" fillId="5" borderId="130" xfId="0" applyNumberFormat="1" applyFont="1" applyFill="1" applyBorder="1" applyAlignment="1" applyProtection="1">
      <alignment horizontal="right" vertical="center"/>
    </xf>
    <xf numFmtId="9" fontId="159" fillId="5" borderId="130" xfId="6" quotePrefix="1" applyFont="1" applyFill="1" applyBorder="1" applyAlignment="1" applyProtection="1">
      <alignment horizontal="center" vertical="center"/>
    </xf>
    <xf numFmtId="9" fontId="159" fillId="5" borderId="129" xfId="6" quotePrefix="1" applyFont="1" applyFill="1" applyBorder="1" applyAlignment="1" applyProtection="1">
      <alignment vertical="center"/>
    </xf>
    <xf numFmtId="9" fontId="160" fillId="5" borderId="131" xfId="6" quotePrefix="1" applyFont="1" applyFill="1" applyBorder="1" applyAlignment="1" applyProtection="1">
      <alignment vertical="center"/>
    </xf>
    <xf numFmtId="0" fontId="138" fillId="24" borderId="31" xfId="0" applyFont="1" applyFill="1" applyBorder="1" applyProtection="1"/>
    <xf numFmtId="0" fontId="148" fillId="24" borderId="32" xfId="0" applyFont="1" applyFill="1" applyBorder="1" applyProtection="1"/>
    <xf numFmtId="0" fontId="143" fillId="24" borderId="32" xfId="0" applyFont="1" applyFill="1" applyBorder="1" applyProtection="1"/>
    <xf numFmtId="0" fontId="149" fillId="25" borderId="33" xfId="0" applyFont="1" applyFill="1" applyBorder="1" applyProtection="1"/>
    <xf numFmtId="168" fontId="161" fillId="24" borderId="130" xfId="6" quotePrefix="1" applyNumberFormat="1" applyFont="1" applyFill="1" applyBorder="1" applyAlignment="1" applyProtection="1">
      <alignment vertical="center"/>
    </xf>
    <xf numFmtId="169" fontId="162" fillId="24" borderId="129" xfId="6" quotePrefix="1" applyNumberFormat="1" applyFont="1" applyFill="1" applyBorder="1" applyAlignment="1" applyProtection="1">
      <alignment vertical="center"/>
    </xf>
    <xf numFmtId="0" fontId="163" fillId="4" borderId="34" xfId="0" applyFont="1" applyFill="1" applyBorder="1" applyAlignment="1" applyProtection="1">
      <alignment horizontal="left" vertical="center"/>
    </xf>
    <xf numFmtId="0" fontId="163" fillId="4" borderId="0" xfId="0" applyFont="1" applyFill="1" applyBorder="1" applyAlignment="1" applyProtection="1">
      <alignment horizontal="left" vertical="center"/>
    </xf>
    <xf numFmtId="0" fontId="138" fillId="26" borderId="31" xfId="0" applyFont="1" applyFill="1" applyBorder="1" applyProtection="1"/>
    <xf numFmtId="0" fontId="148" fillId="26" borderId="32" xfId="0" applyFont="1" applyFill="1" applyBorder="1" applyProtection="1"/>
    <xf numFmtId="0" fontId="143" fillId="26" borderId="32" xfId="0" applyFont="1" applyFill="1" applyBorder="1" applyProtection="1"/>
    <xf numFmtId="0" fontId="149" fillId="27" borderId="33" xfId="0" applyFont="1" applyFill="1" applyBorder="1" applyProtection="1"/>
    <xf numFmtId="2" fontId="159" fillId="26" borderId="130" xfId="0" applyNumberFormat="1" applyFont="1" applyFill="1" applyBorder="1" applyAlignment="1" applyProtection="1">
      <alignment horizontal="right" vertical="center"/>
    </xf>
    <xf numFmtId="0" fontId="138" fillId="26" borderId="129" xfId="0" applyFont="1" applyFill="1" applyBorder="1" applyAlignment="1" applyProtection="1">
      <alignment horizontal="right" vertical="center"/>
    </xf>
    <xf numFmtId="9" fontId="159" fillId="26" borderId="133" xfId="0" applyNumberFormat="1" applyFont="1" applyFill="1" applyBorder="1" applyAlignment="1" applyProtection="1">
      <alignment horizontal="center" vertical="center"/>
    </xf>
    <xf numFmtId="0" fontId="164" fillId="26" borderId="129" xfId="0" applyFont="1" applyFill="1" applyBorder="1" applyAlignment="1" applyProtection="1">
      <alignment horizontal="center" vertical="center"/>
    </xf>
    <xf numFmtId="0" fontId="164" fillId="26" borderId="133" xfId="0" applyFont="1" applyFill="1" applyBorder="1" applyAlignment="1" applyProtection="1">
      <alignment horizontal="center" vertical="center"/>
    </xf>
    <xf numFmtId="0" fontId="164" fillId="26" borderId="133" xfId="0" applyFont="1" applyFill="1" applyBorder="1" applyAlignment="1" applyProtection="1">
      <alignment horizontal="right" vertical="center"/>
    </xf>
    <xf numFmtId="0" fontId="164" fillId="26" borderId="0" xfId="0" applyFont="1" applyFill="1" applyBorder="1" applyAlignment="1" applyProtection="1">
      <alignment horizontal="right" vertical="center"/>
    </xf>
    <xf numFmtId="0" fontId="138" fillId="12" borderId="31" xfId="0" applyFont="1" applyFill="1" applyBorder="1" applyProtection="1"/>
    <xf numFmtId="0" fontId="148" fillId="12" borderId="32" xfId="0" applyFont="1" applyFill="1" applyBorder="1" applyProtection="1"/>
    <xf numFmtId="0" fontId="143" fillId="12" borderId="32" xfId="0" applyFont="1" applyFill="1" applyBorder="1" applyProtection="1"/>
    <xf numFmtId="0" fontId="149" fillId="28" borderId="33" xfId="0" applyFont="1" applyFill="1" applyBorder="1" applyProtection="1"/>
    <xf numFmtId="5" fontId="159" fillId="29" borderId="129" xfId="0" applyNumberFormat="1" applyFont="1" applyFill="1" applyBorder="1" applyAlignment="1" applyProtection="1">
      <alignment vertical="center"/>
    </xf>
    <xf numFmtId="5" fontId="160" fillId="29" borderId="131" xfId="0" applyNumberFormat="1" applyFont="1" applyFill="1" applyBorder="1" applyAlignment="1" applyProtection="1">
      <alignment horizontal="center" vertical="center"/>
    </xf>
    <xf numFmtId="0" fontId="165" fillId="4" borderId="0" xfId="0" applyFont="1" applyFill="1" applyBorder="1" applyAlignment="1" applyProtection="1">
      <alignment vertical="center"/>
    </xf>
    <xf numFmtId="0" fontId="158" fillId="4" borderId="0" xfId="0" applyFont="1" applyFill="1" applyAlignment="1" applyProtection="1"/>
    <xf numFmtId="0" fontId="158" fillId="4" borderId="0" xfId="0" applyFont="1" applyFill="1" applyAlignment="1" applyProtection="1">
      <alignment vertical="center"/>
    </xf>
    <xf numFmtId="0" fontId="159" fillId="4" borderId="0" xfId="0" applyFont="1" applyFill="1" applyAlignment="1" applyProtection="1">
      <alignment vertical="center"/>
    </xf>
    <xf numFmtId="9" fontId="145" fillId="8" borderId="134" xfId="6" applyFont="1" applyFill="1" applyBorder="1" applyAlignment="1" applyProtection="1">
      <alignment horizontal="center" vertical="center"/>
    </xf>
    <xf numFmtId="9" fontId="166" fillId="8" borderId="135" xfId="6" applyFont="1" applyFill="1" applyBorder="1" applyAlignment="1" applyProtection="1">
      <alignment vertical="center"/>
    </xf>
    <xf numFmtId="0" fontId="156" fillId="4" borderId="0" xfId="0" applyFont="1" applyFill="1" applyAlignment="1" applyProtection="1">
      <alignment vertical="center"/>
    </xf>
    <xf numFmtId="0" fontId="167" fillId="4" borderId="0" xfId="0" applyFont="1" applyFill="1" applyAlignment="1" applyProtection="1">
      <alignment vertical="center"/>
    </xf>
    <xf numFmtId="0" fontId="168" fillId="4" borderId="0" xfId="0" applyFont="1" applyFill="1" applyAlignment="1" applyProtection="1">
      <alignment vertical="center"/>
    </xf>
    <xf numFmtId="0" fontId="167" fillId="4" borderId="0" xfId="0" applyFont="1" applyFill="1" applyProtection="1"/>
    <xf numFmtId="0" fontId="138" fillId="4" borderId="0" xfId="0" applyFont="1" applyFill="1" applyAlignment="1" applyProtection="1">
      <alignment vertical="center"/>
    </xf>
    <xf numFmtId="0" fontId="169" fillId="4" borderId="0" xfId="0" applyFont="1" applyFill="1" applyBorder="1" applyAlignment="1" applyProtection="1">
      <alignment horizontal="left" vertical="center"/>
    </xf>
    <xf numFmtId="9" fontId="168" fillId="4" borderId="0" xfId="6" applyFont="1" applyFill="1" applyBorder="1" applyAlignment="1" applyProtection="1">
      <alignment horizontal="center" vertical="center"/>
    </xf>
    <xf numFmtId="2" fontId="145" fillId="26" borderId="134" xfId="0" applyNumberFormat="1" applyFont="1" applyFill="1" applyBorder="1" applyAlignment="1" applyProtection="1">
      <alignment horizontal="right" vertical="center"/>
    </xf>
    <xf numFmtId="0" fontId="170" fillId="4" borderId="0" xfId="0" applyFont="1" applyFill="1" applyBorder="1" applyAlignment="1" applyProtection="1">
      <alignment horizontal="left" vertical="center"/>
    </xf>
    <xf numFmtId="0" fontId="158" fillId="4" borderId="0" xfId="0" applyFont="1" applyFill="1" applyBorder="1" applyAlignment="1" applyProtection="1">
      <alignment vertical="center"/>
    </xf>
    <xf numFmtId="0" fontId="138" fillId="4" borderId="0" xfId="0" applyFont="1" applyFill="1" applyBorder="1" applyAlignment="1" applyProtection="1">
      <alignment vertical="center"/>
    </xf>
    <xf numFmtId="0" fontId="145" fillId="21" borderId="136" xfId="0" applyFont="1" applyFill="1" applyBorder="1" applyAlignment="1" applyProtection="1">
      <alignment vertical="center"/>
    </xf>
    <xf numFmtId="0" fontId="150" fillId="4" borderId="0" xfId="0" applyFont="1" applyFill="1" applyAlignment="1" applyProtection="1">
      <alignment horizontal="left" vertical="center"/>
    </xf>
    <xf numFmtId="0" fontId="171" fillId="21" borderId="136" xfId="0" applyFont="1" applyFill="1" applyBorder="1" applyAlignment="1" applyProtection="1">
      <alignment vertical="center"/>
    </xf>
    <xf numFmtId="0" fontId="172" fillId="21" borderId="136" xfId="0" applyFont="1" applyFill="1" applyBorder="1" applyAlignment="1" applyProtection="1">
      <alignment vertical="center"/>
    </xf>
    <xf numFmtId="0" fontId="153" fillId="20" borderId="137" xfId="0" applyFont="1" applyFill="1" applyBorder="1" applyAlignment="1" applyProtection="1">
      <alignment vertical="center"/>
    </xf>
    <xf numFmtId="0" fontId="145" fillId="4" borderId="138" xfId="0" applyFont="1" applyFill="1" applyBorder="1" applyAlignment="1" applyProtection="1">
      <alignment vertical="center"/>
    </xf>
    <xf numFmtId="0" fontId="145" fillId="4" borderId="139" xfId="0" applyFont="1" applyFill="1" applyBorder="1" applyAlignment="1" applyProtection="1">
      <alignment vertical="center"/>
    </xf>
    <xf numFmtId="0" fontId="145" fillId="4" borderId="140" xfId="0" applyFont="1" applyFill="1" applyBorder="1" applyAlignment="1" applyProtection="1">
      <alignment vertical="center"/>
    </xf>
    <xf numFmtId="0" fontId="155" fillId="4" borderId="141" xfId="0" applyFont="1" applyFill="1" applyBorder="1" applyAlignment="1" applyProtection="1">
      <alignment horizontal="right"/>
    </xf>
    <xf numFmtId="0" fontId="145" fillId="4" borderId="0" xfId="0" applyFont="1" applyFill="1" applyBorder="1" applyAlignment="1" applyProtection="1"/>
    <xf numFmtId="0" fontId="155" fillId="4" borderId="0" xfId="0" applyFont="1" applyFill="1" applyBorder="1" applyAlignment="1" applyProtection="1"/>
    <xf numFmtId="0" fontId="171" fillId="4" borderId="142" xfId="0" applyFont="1" applyFill="1" applyBorder="1" applyAlignment="1" applyProtection="1"/>
    <xf numFmtId="0" fontId="143" fillId="4" borderId="0" xfId="0" applyFont="1" applyFill="1" applyAlignment="1" applyProtection="1"/>
    <xf numFmtId="0" fontId="155" fillId="4" borderId="141" xfId="0" applyFont="1" applyFill="1" applyBorder="1" applyAlignment="1" applyProtection="1">
      <alignment vertical="center"/>
    </xf>
    <xf numFmtId="0" fontId="145" fillId="4" borderId="0" xfId="0" applyFont="1" applyFill="1" applyBorder="1" applyAlignment="1" applyProtection="1">
      <alignment vertical="center"/>
    </xf>
    <xf numFmtId="0" fontId="171" fillId="4" borderId="142" xfId="0" applyFont="1" applyFill="1" applyBorder="1" applyAlignment="1" applyProtection="1">
      <alignment vertical="top"/>
    </xf>
    <xf numFmtId="0" fontId="145" fillId="4" borderId="142" xfId="0" applyFont="1" applyFill="1" applyBorder="1" applyAlignment="1" applyProtection="1">
      <alignment vertical="center"/>
    </xf>
    <xf numFmtId="0" fontId="138" fillId="4" borderId="0" xfId="0" applyFont="1" applyFill="1" applyBorder="1" applyAlignment="1" applyProtection="1">
      <alignment vertical="top"/>
    </xf>
    <xf numFmtId="0" fontId="155" fillId="4" borderId="141" xfId="0" applyFont="1" applyFill="1" applyBorder="1" applyAlignment="1" applyProtection="1">
      <alignment horizontal="right" vertical="top"/>
    </xf>
    <xf numFmtId="0" fontId="173" fillId="4" borderId="141" xfId="0" applyFont="1" applyFill="1" applyBorder="1" applyAlignment="1" applyProtection="1">
      <alignment horizontal="right" vertical="top"/>
    </xf>
    <xf numFmtId="0" fontId="143" fillId="4" borderId="0" xfId="0" applyFont="1" applyFill="1" applyAlignment="1" applyProtection="1">
      <alignment vertical="top"/>
    </xf>
    <xf numFmtId="0" fontId="156" fillId="4" borderId="0" xfId="0" applyFont="1" applyFill="1" applyBorder="1" applyAlignment="1" applyProtection="1">
      <alignment vertical="center"/>
    </xf>
    <xf numFmtId="0" fontId="145" fillId="4" borderId="141" xfId="0" applyFont="1" applyFill="1" applyBorder="1" applyAlignment="1" applyProtection="1">
      <alignment horizontal="right" vertical="center"/>
    </xf>
    <xf numFmtId="0" fontId="143" fillId="4" borderId="143" xfId="0" applyFont="1" applyFill="1" applyBorder="1" applyProtection="1"/>
    <xf numFmtId="0" fontId="143" fillId="4" borderId="144" xfId="0" applyFont="1" applyFill="1" applyBorder="1" applyProtection="1"/>
    <xf numFmtId="0" fontId="143" fillId="4" borderId="145" xfId="0" applyFont="1" applyFill="1" applyBorder="1" applyProtection="1"/>
    <xf numFmtId="0" fontId="172" fillId="4" borderId="138" xfId="0" applyFont="1" applyFill="1" applyBorder="1" applyProtection="1"/>
    <xf numFmtId="0" fontId="174" fillId="4" borderId="139" xfId="0" applyFont="1" applyFill="1" applyBorder="1" applyAlignment="1" applyProtection="1">
      <alignment horizontal="left" vertical="center"/>
    </xf>
    <xf numFmtId="0" fontId="174" fillId="4" borderId="140" xfId="0" applyFont="1" applyFill="1" applyBorder="1" applyAlignment="1" applyProtection="1">
      <alignment horizontal="left" vertical="center"/>
    </xf>
    <xf numFmtId="0" fontId="138" fillId="4" borderId="142" xfId="0" applyFont="1" applyFill="1" applyBorder="1" applyProtection="1"/>
    <xf numFmtId="0" fontId="173" fillId="4" borderId="141" xfId="0" applyFont="1" applyFill="1" applyBorder="1" applyAlignment="1" applyProtection="1">
      <alignment horizontal="right" vertical="center"/>
    </xf>
    <xf numFmtId="0" fontId="138" fillId="4" borderId="142" xfId="0" applyFont="1" applyFill="1" applyBorder="1" applyAlignment="1" applyProtection="1">
      <alignment vertical="top"/>
    </xf>
    <xf numFmtId="0" fontId="156" fillId="4" borderId="0" xfId="0" applyFont="1" applyFill="1" applyBorder="1" applyProtection="1"/>
    <xf numFmtId="0" fontId="143" fillId="4" borderId="141" xfId="0" applyFont="1" applyFill="1" applyBorder="1" applyProtection="1"/>
    <xf numFmtId="0" fontId="153" fillId="20" borderId="137" xfId="0" applyFont="1" applyFill="1" applyBorder="1" applyProtection="1"/>
    <xf numFmtId="0" fontId="172" fillId="4" borderId="141" xfId="0" applyFont="1" applyFill="1" applyBorder="1" applyProtection="1"/>
    <xf numFmtId="0" fontId="174" fillId="4" borderId="0" xfId="0" applyFont="1" applyFill="1" applyBorder="1" applyAlignment="1" applyProtection="1">
      <alignment horizontal="left" vertical="center"/>
    </xf>
    <xf numFmtId="0" fontId="174" fillId="4" borderId="142" xfId="0" applyFont="1" applyFill="1" applyBorder="1" applyAlignment="1" applyProtection="1">
      <alignment horizontal="left" vertical="center"/>
    </xf>
    <xf numFmtId="0" fontId="175" fillId="4" borderId="0" xfId="0" applyFont="1" applyFill="1" applyBorder="1" applyAlignment="1" applyProtection="1">
      <alignment horizontal="center" vertical="center"/>
    </xf>
    <xf numFmtId="0" fontId="158" fillId="4" borderId="0" xfId="0" applyFont="1" applyFill="1" applyBorder="1" applyAlignment="1" applyProtection="1">
      <alignment horizontal="right" vertical="center"/>
    </xf>
    <xf numFmtId="0" fontId="138" fillId="4" borderId="142" xfId="0" applyFont="1" applyFill="1" applyBorder="1" applyAlignment="1" applyProtection="1">
      <alignment vertical="center"/>
    </xf>
    <xf numFmtId="0" fontId="171" fillId="4" borderId="0" xfId="0" applyFont="1" applyFill="1" applyBorder="1" applyAlignment="1" applyProtection="1">
      <alignment vertical="center"/>
    </xf>
    <xf numFmtId="0" fontId="173" fillId="4" borderId="141" xfId="0" applyFont="1" applyFill="1" applyBorder="1" applyAlignment="1" applyProtection="1">
      <alignment horizontal="right" vertical="center" wrapText="1"/>
    </xf>
    <xf numFmtId="0" fontId="138" fillId="4" borderId="142" xfId="0" applyFont="1" applyFill="1" applyBorder="1" applyAlignment="1" applyProtection="1">
      <alignment horizontal="left" vertical="top"/>
    </xf>
    <xf numFmtId="0" fontId="176" fillId="4" borderId="0" xfId="0" applyFont="1" applyFill="1" applyBorder="1" applyAlignment="1" applyProtection="1">
      <alignment vertical="center"/>
    </xf>
    <xf numFmtId="0" fontId="177" fillId="4" borderId="0" xfId="0" applyFont="1" applyFill="1" applyBorder="1" applyAlignment="1" applyProtection="1">
      <alignment vertical="top"/>
    </xf>
    <xf numFmtId="0" fontId="173" fillId="4" borderId="141" xfId="0" applyFont="1" applyFill="1" applyBorder="1" applyAlignment="1" applyProtection="1">
      <alignment horizontal="right" vertical="top" wrapText="1"/>
    </xf>
    <xf numFmtId="0" fontId="176" fillId="4" borderId="0" xfId="0" applyFont="1" applyFill="1" applyBorder="1" applyAlignment="1" applyProtection="1">
      <alignment horizontal="center" vertical="center"/>
    </xf>
    <xf numFmtId="0" fontId="145" fillId="19" borderId="146" xfId="0" applyFont="1" applyFill="1" applyBorder="1" applyAlignment="1" applyProtection="1">
      <alignment vertical="center"/>
    </xf>
    <xf numFmtId="0" fontId="171" fillId="19" borderId="147" xfId="0" applyFont="1" applyFill="1" applyBorder="1" applyAlignment="1" applyProtection="1">
      <alignment vertical="center"/>
    </xf>
    <xf numFmtId="0" fontId="172" fillId="4" borderId="148" xfId="0" applyFont="1" applyFill="1" applyBorder="1" applyProtection="1"/>
    <xf numFmtId="0" fontId="174" fillId="4" borderId="149" xfId="0" applyFont="1" applyFill="1" applyBorder="1" applyAlignment="1" applyProtection="1">
      <alignment horizontal="left" vertical="center"/>
    </xf>
    <xf numFmtId="0" fontId="178" fillId="4" borderId="149" xfId="0" applyFont="1" applyFill="1" applyBorder="1" applyAlignment="1" applyProtection="1">
      <alignment horizontal="left" vertical="center"/>
    </xf>
    <xf numFmtId="0" fontId="178" fillId="4" borderId="150" xfId="0" applyFont="1" applyFill="1" applyBorder="1" applyAlignment="1" applyProtection="1">
      <alignment horizontal="left" vertical="center"/>
    </xf>
    <xf numFmtId="0" fontId="179" fillId="4" borderId="151" xfId="0" applyFont="1" applyFill="1" applyBorder="1" applyAlignment="1" applyProtection="1">
      <alignment horizontal="right" vertical="top" wrapText="1"/>
    </xf>
    <xf numFmtId="0" fontId="179" fillId="4" borderId="151" xfId="0" applyFont="1" applyFill="1" applyBorder="1" applyAlignment="1" applyProtection="1">
      <alignment horizontal="right" vertical="center" wrapText="1"/>
    </xf>
    <xf numFmtId="0" fontId="179" fillId="4" borderId="151" xfId="0" applyFont="1" applyFill="1" applyBorder="1" applyAlignment="1" applyProtection="1">
      <alignment vertical="center" wrapText="1"/>
    </xf>
    <xf numFmtId="0" fontId="155" fillId="4" borderId="0" xfId="0" applyFont="1" applyFill="1" applyBorder="1" applyAlignment="1" applyProtection="1">
      <alignment vertical="center" wrapText="1"/>
    </xf>
    <xf numFmtId="0" fontId="179" fillId="4" borderId="151" xfId="0" applyFont="1" applyFill="1" applyBorder="1" applyAlignment="1" applyProtection="1">
      <alignment vertical="center"/>
    </xf>
    <xf numFmtId="0" fontId="138" fillId="4" borderId="152" xfId="0" applyFont="1" applyFill="1" applyBorder="1" applyAlignment="1" applyProtection="1">
      <alignment vertical="top" wrapText="1"/>
    </xf>
    <xf numFmtId="0" fontId="180" fillId="4" borderId="151" xfId="0" applyFont="1" applyFill="1" applyBorder="1" applyAlignment="1" applyProtection="1">
      <alignment horizontal="right" vertical="top"/>
    </xf>
    <xf numFmtId="0" fontId="155" fillId="4" borderId="151" xfId="0" applyFont="1" applyFill="1" applyBorder="1" applyAlignment="1" applyProtection="1">
      <alignment vertical="center"/>
    </xf>
    <xf numFmtId="0" fontId="155" fillId="4" borderId="153" xfId="0" applyFont="1" applyFill="1" applyBorder="1" applyAlignment="1" applyProtection="1">
      <alignment vertical="center"/>
    </xf>
    <xf numFmtId="0" fontId="171" fillId="19" borderId="146" xfId="0" applyFont="1" applyFill="1" applyBorder="1" applyAlignment="1" applyProtection="1">
      <alignment vertical="center"/>
    </xf>
    <xf numFmtId="0" fontId="172" fillId="19" borderId="146" xfId="0" applyFont="1" applyFill="1" applyBorder="1" applyAlignment="1" applyProtection="1">
      <alignment vertical="center"/>
    </xf>
    <xf numFmtId="0" fontId="153" fillId="22" borderId="154" xfId="0" applyFont="1" applyFill="1" applyBorder="1" applyProtection="1"/>
    <xf numFmtId="0" fontId="172" fillId="4" borderId="151" xfId="0" applyFont="1" applyFill="1" applyBorder="1" applyProtection="1"/>
    <xf numFmtId="0" fontId="178" fillId="4" borderId="0" xfId="0" applyFont="1" applyFill="1" applyBorder="1" applyAlignment="1" applyProtection="1">
      <alignment horizontal="left" vertical="center"/>
    </xf>
    <xf numFmtId="0" fontId="178" fillId="4" borderId="152" xfId="0" applyFont="1" applyFill="1" applyBorder="1" applyAlignment="1" applyProtection="1">
      <alignment horizontal="left" vertical="center"/>
    </xf>
    <xf numFmtId="0" fontId="157" fillId="4" borderId="152" xfId="0" applyFont="1" applyFill="1" applyBorder="1" applyProtection="1"/>
    <xf numFmtId="0" fontId="179" fillId="4" borderId="151" xfId="0" applyFont="1" applyFill="1" applyBorder="1" applyAlignment="1" applyProtection="1">
      <alignment horizontal="right" vertical="top"/>
    </xf>
    <xf numFmtId="0" fontId="181" fillId="4" borderId="152" xfId="0" applyFont="1" applyFill="1" applyBorder="1" applyAlignment="1" applyProtection="1">
      <alignment horizontal="left" vertical="top" wrapText="1"/>
    </xf>
    <xf numFmtId="0" fontId="143" fillId="4" borderId="151" xfId="0" applyFont="1" applyFill="1" applyBorder="1" applyProtection="1"/>
    <xf numFmtId="0" fontId="143" fillId="4" borderId="153" xfId="0" applyFont="1" applyFill="1" applyBorder="1" applyProtection="1"/>
    <xf numFmtId="0" fontId="145" fillId="19" borderId="155" xfId="0" applyFont="1" applyFill="1" applyBorder="1" applyAlignment="1" applyProtection="1">
      <alignment vertical="center"/>
    </xf>
    <xf numFmtId="0" fontId="171" fillId="19" borderId="155" xfId="0" applyFont="1" applyFill="1" applyBorder="1" applyAlignment="1" applyProtection="1">
      <alignment vertical="center"/>
    </xf>
    <xf numFmtId="0" fontId="172" fillId="19" borderId="155" xfId="0" applyFont="1" applyFill="1" applyBorder="1" applyAlignment="1" applyProtection="1">
      <alignment vertical="center"/>
    </xf>
    <xf numFmtId="0" fontId="180" fillId="4" borderId="151" xfId="0" applyFont="1" applyFill="1" applyBorder="1" applyAlignment="1" applyProtection="1">
      <alignment horizontal="right" vertical="center"/>
    </xf>
    <xf numFmtId="0" fontId="156" fillId="4" borderId="156" xfId="0" applyFont="1" applyFill="1" applyBorder="1" applyAlignment="1" applyProtection="1">
      <alignment vertical="top" wrapText="1"/>
    </xf>
    <xf numFmtId="0" fontId="156" fillId="4" borderId="157" xfId="0" applyFont="1" applyFill="1" applyBorder="1" applyAlignment="1" applyProtection="1">
      <alignment vertical="top" wrapText="1"/>
    </xf>
    <xf numFmtId="0" fontId="153" fillId="22" borderId="154" xfId="0" applyFont="1" applyFill="1" applyBorder="1" applyAlignment="1" applyProtection="1">
      <alignment horizontal="left" vertical="center"/>
    </xf>
    <xf numFmtId="0" fontId="171" fillId="24" borderId="158" xfId="0" applyFont="1" applyFill="1" applyBorder="1" applyAlignment="1" applyProtection="1">
      <alignment vertical="center"/>
    </xf>
    <xf numFmtId="0" fontId="172" fillId="24" borderId="158" xfId="0" applyFont="1" applyFill="1" applyBorder="1" applyAlignment="1" applyProtection="1">
      <alignment vertical="center"/>
    </xf>
    <xf numFmtId="0" fontId="153" fillId="25" borderId="159" xfId="0" applyFont="1" applyFill="1" applyBorder="1" applyAlignment="1" applyProtection="1">
      <alignment vertical="center"/>
    </xf>
    <xf numFmtId="0" fontId="153" fillId="4" borderId="160" xfId="0" applyFont="1" applyFill="1" applyBorder="1" applyAlignment="1" applyProtection="1">
      <alignment vertical="center"/>
    </xf>
    <xf numFmtId="0" fontId="154" fillId="4" borderId="161" xfId="0" applyFont="1" applyFill="1" applyBorder="1" applyAlignment="1" applyProtection="1">
      <alignment horizontal="center" vertical="center"/>
    </xf>
    <xf numFmtId="0" fontId="154" fillId="4" borderId="162" xfId="0" applyFont="1" applyFill="1" applyBorder="1" applyAlignment="1" applyProtection="1">
      <alignment horizontal="center" vertical="center"/>
    </xf>
    <xf numFmtId="0" fontId="182" fillId="4" borderId="0" xfId="0" applyFont="1" applyFill="1" applyProtection="1"/>
    <xf numFmtId="0" fontId="183" fillId="4" borderId="163" xfId="0" applyFont="1" applyFill="1" applyBorder="1" applyAlignment="1" applyProtection="1">
      <alignment horizontal="right" vertical="top"/>
    </xf>
    <xf numFmtId="0" fontId="183" fillId="4" borderId="163" xfId="0" applyFont="1" applyFill="1" applyBorder="1" applyAlignment="1" applyProtection="1">
      <alignment vertical="center"/>
    </xf>
    <xf numFmtId="0" fontId="184" fillId="4" borderId="163" xfId="0" applyFont="1" applyFill="1" applyBorder="1" applyAlignment="1" applyProtection="1">
      <alignment horizontal="right" vertical="top"/>
    </xf>
    <xf numFmtId="0" fontId="184" fillId="4" borderId="163" xfId="0" applyFont="1" applyFill="1" applyBorder="1" applyAlignment="1" applyProtection="1">
      <alignment horizontal="right" vertical="center"/>
    </xf>
    <xf numFmtId="0" fontId="143" fillId="4" borderId="164" xfId="0" applyFont="1" applyFill="1" applyBorder="1" applyProtection="1"/>
    <xf numFmtId="0" fontId="143" fillId="4" borderId="165" xfId="0" applyFont="1" applyFill="1" applyBorder="1" applyProtection="1"/>
    <xf numFmtId="0" fontId="143" fillId="4" borderId="166" xfId="0" applyFont="1" applyFill="1" applyBorder="1" applyProtection="1"/>
    <xf numFmtId="0" fontId="145" fillId="30" borderId="158" xfId="0" applyFont="1" applyFill="1" applyBorder="1" applyAlignment="1" applyProtection="1">
      <alignment vertical="center"/>
    </xf>
    <xf numFmtId="0" fontId="171" fillId="30" borderId="158" xfId="0" applyFont="1" applyFill="1" applyBorder="1" applyAlignment="1" applyProtection="1">
      <alignment vertical="center"/>
    </xf>
    <xf numFmtId="0" fontId="172" fillId="30" borderId="158" xfId="0" applyFont="1" applyFill="1" applyBorder="1" applyAlignment="1" applyProtection="1">
      <alignment vertical="center"/>
    </xf>
    <xf numFmtId="0" fontId="157" fillId="4" borderId="167" xfId="0" applyFont="1" applyFill="1" applyBorder="1" applyProtection="1"/>
    <xf numFmtId="0" fontId="155" fillId="4" borderId="163" xfId="0" applyFont="1" applyFill="1" applyBorder="1" applyAlignment="1" applyProtection="1">
      <alignment vertical="center"/>
    </xf>
    <xf numFmtId="0" fontId="181" fillId="4" borderId="167" xfId="0" applyFont="1" applyFill="1" applyBorder="1" applyAlignment="1" applyProtection="1">
      <alignment horizontal="left" vertical="top" wrapText="1"/>
    </xf>
    <xf numFmtId="0" fontId="156" fillId="4" borderId="165" xfId="0" applyFont="1" applyFill="1" applyBorder="1" applyAlignment="1" applyProtection="1">
      <alignment vertical="top" wrapText="1"/>
    </xf>
    <xf numFmtId="0" fontId="156" fillId="4" borderId="166" xfId="0" applyFont="1" applyFill="1" applyBorder="1" applyAlignment="1" applyProtection="1">
      <alignment vertical="top" wrapText="1"/>
    </xf>
    <xf numFmtId="0" fontId="145" fillId="26" borderId="168" xfId="0" applyFont="1" applyFill="1" applyBorder="1" applyAlignment="1" applyProtection="1">
      <alignment vertical="center"/>
    </xf>
    <xf numFmtId="0" fontId="171" fillId="26" borderId="168" xfId="0" applyFont="1" applyFill="1" applyBorder="1" applyAlignment="1" applyProtection="1">
      <alignment vertical="center"/>
    </xf>
    <xf numFmtId="0" fontId="172" fillId="26" borderId="168" xfId="0" applyFont="1" applyFill="1" applyBorder="1" applyAlignment="1" applyProtection="1">
      <alignment vertical="center"/>
    </xf>
    <xf numFmtId="0" fontId="153" fillId="27" borderId="169" xfId="0" applyFont="1" applyFill="1" applyBorder="1" applyAlignment="1" applyProtection="1">
      <alignment vertical="center"/>
    </xf>
    <xf numFmtId="0" fontId="153" fillId="4" borderId="170" xfId="0" applyFont="1" applyFill="1" applyBorder="1" applyAlignment="1" applyProtection="1">
      <alignment vertical="center"/>
    </xf>
    <xf numFmtId="0" fontId="156" fillId="4" borderId="171" xfId="0" applyFont="1" applyFill="1" applyBorder="1" applyAlignment="1" applyProtection="1"/>
    <xf numFmtId="0" fontId="156" fillId="4" borderId="172" xfId="0" applyFont="1" applyFill="1" applyBorder="1" applyAlignment="1" applyProtection="1"/>
    <xf numFmtId="0" fontId="155" fillId="4" borderId="173" xfId="0" applyFont="1" applyFill="1" applyBorder="1" applyAlignment="1" applyProtection="1">
      <alignment horizontal="right" vertical="center"/>
    </xf>
    <xf numFmtId="0" fontId="157" fillId="4" borderId="174" xfId="0" applyFont="1" applyFill="1" applyBorder="1" applyProtection="1"/>
    <xf numFmtId="0" fontId="138" fillId="4" borderId="0" xfId="0" applyFont="1" applyFill="1" applyBorder="1" applyAlignment="1" applyProtection="1">
      <alignment vertical="center" wrapText="1"/>
    </xf>
    <xf numFmtId="0" fontId="185" fillId="4" borderId="173" xfId="0" applyFont="1" applyFill="1" applyBorder="1" applyAlignment="1" applyProtection="1">
      <alignment horizontal="right" vertical="top"/>
    </xf>
    <xf numFmtId="0" fontId="155" fillId="4" borderId="173" xfId="0" applyFont="1" applyFill="1" applyBorder="1" applyAlignment="1" applyProtection="1">
      <alignment vertical="center"/>
    </xf>
    <xf numFmtId="0" fontId="0" fillId="4" borderId="0" xfId="0" applyFill="1" applyAlignment="1" applyProtection="1">
      <alignment vertical="center" wrapText="1"/>
    </xf>
    <xf numFmtId="0" fontId="186" fillId="4" borderId="173" xfId="0" applyFont="1" applyFill="1" applyBorder="1" applyAlignment="1" applyProtection="1">
      <alignment horizontal="right" vertical="top"/>
    </xf>
    <xf numFmtId="0" fontId="155" fillId="4" borderId="173" xfId="0" applyFont="1" applyFill="1" applyBorder="1" applyAlignment="1" applyProtection="1">
      <alignment horizontal="right" vertical="top"/>
    </xf>
    <xf numFmtId="0" fontId="138" fillId="4" borderId="174" xfId="0" applyFont="1" applyFill="1" applyBorder="1" applyAlignment="1" applyProtection="1">
      <alignment vertical="top" wrapText="1"/>
    </xf>
    <xf numFmtId="0" fontId="143" fillId="4" borderId="173" xfId="0" applyFont="1" applyFill="1" applyBorder="1" applyProtection="1"/>
    <xf numFmtId="0" fontId="143" fillId="4" borderId="175" xfId="0" applyFont="1" applyFill="1" applyBorder="1" applyProtection="1"/>
    <xf numFmtId="0" fontId="154" fillId="4" borderId="171" xfId="0" applyFont="1" applyFill="1" applyBorder="1" applyAlignment="1" applyProtection="1">
      <alignment horizontal="center" vertical="center"/>
    </xf>
    <xf numFmtId="0" fontId="154" fillId="4" borderId="172" xfId="0" applyFont="1" applyFill="1" applyBorder="1" applyAlignment="1" applyProtection="1">
      <alignment horizontal="center" vertical="center"/>
    </xf>
    <xf numFmtId="0" fontId="173" fillId="4" borderId="173" xfId="0" applyFont="1" applyFill="1" applyBorder="1" applyAlignment="1" applyProtection="1">
      <alignment horizontal="right" vertical="top"/>
    </xf>
    <xf numFmtId="0" fontId="181" fillId="4" borderId="0" xfId="0" applyFont="1" applyFill="1" applyBorder="1" applyAlignment="1" applyProtection="1">
      <alignment vertical="top" wrapText="1"/>
    </xf>
    <xf numFmtId="0" fontId="181" fillId="4" borderId="174" xfId="0" applyFont="1" applyFill="1" applyBorder="1" applyAlignment="1" applyProtection="1">
      <alignment vertical="top" wrapText="1"/>
    </xf>
    <xf numFmtId="0" fontId="156" fillId="4" borderId="0" xfId="0" applyFont="1" applyFill="1" applyBorder="1" applyAlignment="1" applyProtection="1">
      <alignment vertical="top" wrapText="1"/>
    </xf>
    <xf numFmtId="0" fontId="156" fillId="4" borderId="174" xfId="0" applyFont="1" applyFill="1" applyBorder="1" applyAlignment="1" applyProtection="1">
      <alignment vertical="top" wrapText="1"/>
    </xf>
    <xf numFmtId="0" fontId="13" fillId="12" borderId="176" xfId="0" applyFont="1" applyFill="1" applyBorder="1" applyAlignment="1" applyProtection="1">
      <alignment vertical="center"/>
    </xf>
    <xf numFmtId="0" fontId="71" fillId="12" borderId="176" xfId="0" applyFont="1" applyFill="1" applyBorder="1" applyAlignment="1" applyProtection="1">
      <alignment vertical="center"/>
    </xf>
    <xf numFmtId="0" fontId="72" fillId="12" borderId="176" xfId="0" applyFont="1" applyFill="1" applyBorder="1" applyAlignment="1" applyProtection="1">
      <alignment vertical="center"/>
    </xf>
    <xf numFmtId="0" fontId="153" fillId="28" borderId="177" xfId="0" applyFont="1" applyFill="1" applyBorder="1" applyAlignment="1" applyProtection="1">
      <alignment vertical="center"/>
    </xf>
    <xf numFmtId="0" fontId="153" fillId="4" borderId="178" xfId="0" applyFont="1" applyFill="1" applyBorder="1" applyAlignment="1" applyProtection="1">
      <alignment vertical="center"/>
    </xf>
    <xf numFmtId="0" fontId="154" fillId="4" borderId="179" xfId="0" applyFont="1" applyFill="1" applyBorder="1" applyAlignment="1" applyProtection="1">
      <alignment horizontal="center" vertical="center"/>
    </xf>
    <xf numFmtId="0" fontId="154" fillId="4" borderId="180" xfId="0" applyFont="1" applyFill="1" applyBorder="1" applyAlignment="1" applyProtection="1">
      <alignment horizontal="center" vertical="center"/>
    </xf>
    <xf numFmtId="0" fontId="187" fillId="4" borderId="181" xfId="0" applyFont="1" applyFill="1" applyBorder="1" applyAlignment="1" applyProtection="1">
      <alignment horizontal="right" vertical="top"/>
    </xf>
    <xf numFmtId="0" fontId="187" fillId="4" borderId="181" xfId="0" applyFont="1" applyFill="1" applyBorder="1" applyAlignment="1" applyProtection="1">
      <alignment vertical="center"/>
    </xf>
    <xf numFmtId="0" fontId="187" fillId="4" borderId="181" xfId="0" applyFont="1" applyFill="1" applyBorder="1" applyAlignment="1" applyProtection="1">
      <alignment horizontal="right" vertical="center"/>
    </xf>
    <xf numFmtId="0" fontId="188" fillId="4" borderId="181" xfId="0" applyFont="1" applyFill="1" applyBorder="1" applyAlignment="1" applyProtection="1">
      <alignment horizontal="right" vertical="top"/>
    </xf>
    <xf numFmtId="0" fontId="143" fillId="4" borderId="182" xfId="0" applyFont="1" applyFill="1" applyBorder="1" applyProtection="1"/>
    <xf numFmtId="0" fontId="156" fillId="4" borderId="183" xfId="0" applyFont="1" applyFill="1" applyBorder="1" applyAlignment="1" applyProtection="1">
      <alignment vertical="top" wrapText="1"/>
    </xf>
    <xf numFmtId="0" fontId="156" fillId="4" borderId="184" xfId="0" applyFont="1" applyFill="1" applyBorder="1" applyAlignment="1" applyProtection="1">
      <alignment vertical="top" wrapText="1"/>
    </xf>
    <xf numFmtId="0" fontId="167" fillId="12" borderId="176" xfId="0" applyFont="1" applyFill="1" applyBorder="1" applyAlignment="1" applyProtection="1">
      <alignment vertical="center"/>
    </xf>
    <xf numFmtId="0" fontId="189" fillId="12" borderId="176" xfId="0" applyFont="1" applyFill="1" applyBorder="1" applyAlignment="1" applyProtection="1">
      <alignment vertical="center"/>
    </xf>
    <xf numFmtId="0" fontId="154" fillId="12" borderId="176" xfId="0" applyFont="1" applyFill="1" applyBorder="1" applyAlignment="1" applyProtection="1">
      <alignment vertical="center"/>
    </xf>
    <xf numFmtId="0" fontId="188" fillId="4" borderId="181" xfId="0" applyFont="1" applyFill="1" applyBorder="1" applyAlignment="1" applyProtection="1">
      <alignment horizontal="right" vertical="center"/>
    </xf>
    <xf numFmtId="0" fontId="143" fillId="4" borderId="0" xfId="0" applyFont="1" applyFill="1" applyAlignment="1" applyProtection="1">
      <alignment horizontal="left" vertical="center"/>
    </xf>
    <xf numFmtId="0" fontId="156" fillId="4" borderId="185" xfId="0" applyFont="1" applyFill="1" applyBorder="1" applyAlignment="1" applyProtection="1">
      <alignment vertical="top"/>
    </xf>
    <xf numFmtId="0" fontId="156" fillId="4" borderId="0" xfId="0" applyFont="1" applyFill="1" applyBorder="1" applyAlignment="1" applyProtection="1">
      <alignment vertical="top"/>
    </xf>
    <xf numFmtId="0" fontId="143" fillId="4" borderId="181" xfId="0" applyFont="1" applyFill="1" applyBorder="1" applyProtection="1"/>
    <xf numFmtId="0" fontId="145" fillId="31" borderId="186" xfId="0" applyFont="1" applyFill="1" applyBorder="1" applyAlignment="1" applyProtection="1">
      <alignment vertical="center"/>
    </xf>
    <xf numFmtId="0" fontId="158" fillId="4" borderId="187" xfId="0" applyFont="1" applyFill="1" applyBorder="1" applyAlignment="1" applyProtection="1">
      <alignment vertical="center"/>
    </xf>
    <xf numFmtId="0" fontId="158" fillId="4" borderId="188" xfId="0" applyFont="1" applyFill="1" applyBorder="1" applyAlignment="1" applyProtection="1">
      <alignment vertical="center"/>
    </xf>
    <xf numFmtId="0" fontId="171" fillId="4" borderId="189" xfId="0" applyFont="1" applyFill="1" applyBorder="1" applyProtection="1"/>
    <xf numFmtId="0" fontId="171" fillId="4" borderId="190" xfId="0" applyFont="1" applyFill="1" applyBorder="1" applyAlignment="1" applyProtection="1">
      <alignment vertical="center"/>
    </xf>
    <xf numFmtId="0" fontId="171" fillId="4" borderId="191" xfId="0" applyFont="1" applyFill="1" applyBorder="1" applyAlignment="1" applyProtection="1">
      <alignment vertical="center"/>
    </xf>
    <xf numFmtId="0" fontId="190" fillId="4" borderId="192" xfId="0" applyFont="1" applyFill="1" applyBorder="1" applyAlignment="1" applyProtection="1">
      <alignment horizontal="right" vertical="center"/>
    </xf>
    <xf numFmtId="0" fontId="171" fillId="4" borderId="193" xfId="0" applyFont="1" applyFill="1" applyBorder="1" applyAlignment="1" applyProtection="1">
      <alignment vertical="center"/>
    </xf>
    <xf numFmtId="0" fontId="87" fillId="4" borderId="192" xfId="0" applyFont="1" applyFill="1" applyBorder="1" applyAlignment="1" applyProtection="1">
      <alignment horizontal="right" vertical="center"/>
    </xf>
    <xf numFmtId="0" fontId="171" fillId="4" borderId="192" xfId="0" applyFont="1" applyFill="1" applyBorder="1" applyProtection="1"/>
    <xf numFmtId="0" fontId="145" fillId="4" borderId="0" xfId="0" applyFont="1" applyFill="1" applyBorder="1" applyAlignment="1" applyProtection="1">
      <alignment vertical="top"/>
    </xf>
    <xf numFmtId="0" fontId="145" fillId="4" borderId="193" xfId="0" applyFont="1" applyFill="1" applyBorder="1" applyAlignment="1" applyProtection="1">
      <alignment vertical="top"/>
    </xf>
    <xf numFmtId="0" fontId="145" fillId="4" borderId="0" xfId="0" applyFont="1" applyFill="1" applyBorder="1" applyAlignment="1" applyProtection="1">
      <alignment horizontal="left" vertical="top"/>
    </xf>
    <xf numFmtId="0" fontId="145" fillId="4" borderId="193" xfId="0" applyFont="1" applyFill="1" applyBorder="1" applyAlignment="1" applyProtection="1">
      <alignment horizontal="left" vertical="top"/>
    </xf>
    <xf numFmtId="0" fontId="145" fillId="4" borderId="192" xfId="0" applyFont="1" applyFill="1" applyBorder="1" applyAlignment="1" applyProtection="1">
      <alignment vertical="center"/>
    </xf>
    <xf numFmtId="0" fontId="145" fillId="4" borderId="193" xfId="0" applyFont="1" applyFill="1" applyBorder="1" applyAlignment="1" applyProtection="1">
      <alignment vertical="center"/>
    </xf>
    <xf numFmtId="0" fontId="143" fillId="4" borderId="38" xfId="0" applyFont="1" applyFill="1" applyBorder="1" applyAlignment="1" applyProtection="1">
      <alignment horizontal="center" vertical="center"/>
      <protection locked="0"/>
    </xf>
    <xf numFmtId="3" fontId="143" fillId="4" borderId="39" xfId="0" applyNumberFormat="1" applyFont="1" applyFill="1" applyBorder="1" applyAlignment="1" applyProtection="1">
      <alignment horizontal="center" vertical="center"/>
      <protection locked="0"/>
    </xf>
    <xf numFmtId="1" fontId="143" fillId="4" borderId="39" xfId="0" applyNumberFormat="1" applyFont="1" applyFill="1" applyBorder="1" applyAlignment="1" applyProtection="1">
      <alignment horizontal="center" vertical="center"/>
      <protection locked="0"/>
    </xf>
    <xf numFmtId="1" fontId="143" fillId="4" borderId="40" xfId="0" applyNumberFormat="1" applyFont="1" applyFill="1" applyBorder="1" applyAlignment="1" applyProtection="1">
      <alignment horizontal="center" vertical="center"/>
      <protection locked="0"/>
    </xf>
    <xf numFmtId="0" fontId="143" fillId="4" borderId="41" xfId="0" applyFont="1" applyFill="1" applyBorder="1" applyAlignment="1" applyProtection="1">
      <alignment horizontal="center" vertical="center"/>
      <protection locked="0"/>
    </xf>
    <xf numFmtId="1" fontId="143" fillId="4" borderId="42" xfId="0" applyNumberFormat="1" applyFont="1" applyFill="1" applyBorder="1" applyAlignment="1" applyProtection="1">
      <alignment horizontal="center" vertical="center"/>
      <protection locked="0"/>
    </xf>
    <xf numFmtId="0" fontId="143" fillId="4" borderId="43" xfId="0" applyFont="1" applyFill="1" applyBorder="1" applyAlignment="1" applyProtection="1">
      <alignment horizontal="center" vertical="center"/>
      <protection locked="0"/>
    </xf>
    <xf numFmtId="0" fontId="191" fillId="4" borderId="0" xfId="0" applyFont="1" applyFill="1" applyBorder="1" applyAlignment="1" applyProtection="1">
      <alignment vertical="center"/>
    </xf>
    <xf numFmtId="0" fontId="143" fillId="4" borderId="0" xfId="0" quotePrefix="1" applyFont="1" applyFill="1" applyProtection="1"/>
    <xf numFmtId="0" fontId="192" fillId="0" borderId="0" xfId="0" quotePrefix="1" applyFont="1" applyProtection="1"/>
    <xf numFmtId="0" fontId="163" fillId="4" borderId="194" xfId="0" applyFont="1" applyFill="1" applyBorder="1" applyAlignment="1" applyProtection="1">
      <alignment vertical="top" wrapText="1"/>
    </xf>
    <xf numFmtId="0" fontId="191" fillId="4" borderId="44" xfId="0" applyFont="1" applyFill="1" applyBorder="1" applyAlignment="1" applyProtection="1">
      <alignment vertical="center"/>
    </xf>
    <xf numFmtId="3" fontId="145" fillId="7" borderId="45" xfId="0" quotePrefix="1" applyNumberFormat="1" applyFont="1" applyFill="1" applyBorder="1" applyAlignment="1" applyProtection="1">
      <alignment horizontal="center" vertical="center"/>
    </xf>
    <xf numFmtId="3" fontId="143" fillId="4" borderId="0" xfId="0" applyNumberFormat="1" applyFont="1" applyFill="1" applyAlignment="1" applyProtection="1">
      <alignment vertical="center"/>
    </xf>
    <xf numFmtId="1" fontId="157" fillId="11" borderId="49" xfId="0" applyNumberFormat="1" applyFont="1" applyFill="1" applyBorder="1" applyAlignment="1" applyProtection="1">
      <alignment horizontal="center" vertical="center" wrapText="1"/>
    </xf>
    <xf numFmtId="0" fontId="157" fillId="4" borderId="15" xfId="0" applyFont="1" applyFill="1" applyBorder="1" applyAlignment="1" applyProtection="1">
      <alignment horizontal="center" vertical="center" wrapText="1"/>
    </xf>
    <xf numFmtId="0" fontId="157" fillId="11" borderId="15" xfId="0" applyFont="1" applyFill="1" applyBorder="1" applyAlignment="1" applyProtection="1">
      <alignment horizontal="center" vertical="center" wrapText="1"/>
    </xf>
    <xf numFmtId="3" fontId="145" fillId="31" borderId="18" xfId="0" applyNumberFormat="1" applyFont="1" applyFill="1" applyBorder="1" applyAlignment="1" applyProtection="1">
      <alignment horizontal="center" vertical="center"/>
    </xf>
    <xf numFmtId="1" fontId="145" fillId="31" borderId="18" xfId="0" applyNumberFormat="1" applyFont="1" applyFill="1" applyBorder="1" applyAlignment="1" applyProtection="1">
      <alignment horizontal="center" vertical="center"/>
    </xf>
    <xf numFmtId="3" fontId="193" fillId="31" borderId="18" xfId="0" applyNumberFormat="1" applyFont="1" applyFill="1" applyBorder="1" applyAlignment="1" applyProtection="1">
      <alignment horizontal="center" vertical="center"/>
    </xf>
    <xf numFmtId="4" fontId="193" fillId="31" borderId="18" xfId="0" applyNumberFormat="1" applyFont="1" applyFill="1" applyBorder="1" applyAlignment="1" applyProtection="1">
      <alignment horizontal="center" vertical="center"/>
    </xf>
    <xf numFmtId="4" fontId="145" fillId="31" borderId="18" xfId="0" applyNumberFormat="1" applyFont="1" applyFill="1" applyBorder="1" applyAlignment="1" applyProtection="1">
      <alignment horizontal="center" vertical="center"/>
    </xf>
    <xf numFmtId="4" fontId="194" fillId="4" borderId="45" xfId="0" applyNumberFormat="1" applyFont="1" applyFill="1" applyBorder="1" applyAlignment="1" applyProtection="1">
      <alignment horizontal="center" vertical="center"/>
    </xf>
    <xf numFmtId="3" fontId="145" fillId="31" borderId="19" xfId="0" applyNumberFormat="1" applyFont="1" applyFill="1" applyBorder="1" applyAlignment="1" applyProtection="1">
      <alignment horizontal="center" vertical="center"/>
    </xf>
    <xf numFmtId="4" fontId="193" fillId="31" borderId="19" xfId="0" applyNumberFormat="1" applyFont="1" applyFill="1" applyBorder="1" applyAlignment="1" applyProtection="1">
      <alignment horizontal="center" vertical="center"/>
    </xf>
    <xf numFmtId="4" fontId="194" fillId="4" borderId="50" xfId="0" applyNumberFormat="1" applyFont="1" applyFill="1" applyBorder="1" applyAlignment="1" applyProtection="1">
      <alignment horizontal="center" vertical="center"/>
    </xf>
    <xf numFmtId="3" fontId="145" fillId="31" borderId="26" xfId="0" applyNumberFormat="1" applyFont="1" applyFill="1" applyBorder="1" applyAlignment="1" applyProtection="1">
      <alignment horizontal="center" vertical="center"/>
    </xf>
    <xf numFmtId="1" fontId="145" fillId="31" borderId="1" xfId="0" applyNumberFormat="1" applyFont="1" applyFill="1" applyBorder="1" applyAlignment="1" applyProtection="1">
      <alignment horizontal="center" vertical="center"/>
    </xf>
    <xf numFmtId="4" fontId="193" fillId="31" borderId="26" xfId="0" applyNumberFormat="1" applyFont="1" applyFill="1" applyBorder="1" applyAlignment="1" applyProtection="1">
      <alignment horizontal="center" vertical="center"/>
    </xf>
    <xf numFmtId="4" fontId="194" fillId="4" borderId="51" xfId="0" applyNumberFormat="1" applyFont="1" applyFill="1" applyBorder="1" applyAlignment="1" applyProtection="1">
      <alignment horizontal="center" vertical="center"/>
    </xf>
    <xf numFmtId="3" fontId="143" fillId="4" borderId="0" xfId="0" applyNumberFormat="1" applyFont="1" applyFill="1" applyBorder="1" applyAlignment="1" applyProtection="1">
      <alignment horizontal="center" vertical="center"/>
    </xf>
    <xf numFmtId="3" fontId="143" fillId="4" borderId="0" xfId="0" applyNumberFormat="1" applyFont="1" applyFill="1" applyProtection="1"/>
    <xf numFmtId="3" fontId="159" fillId="4" borderId="12" xfId="0" applyNumberFormat="1" applyFont="1" applyFill="1" applyBorder="1" applyAlignment="1" applyProtection="1">
      <alignment horizontal="center" vertical="center"/>
    </xf>
    <xf numFmtId="49" fontId="143" fillId="4" borderId="0" xfId="0" applyNumberFormat="1" applyFont="1" applyFill="1" applyBorder="1" applyAlignment="1" applyProtection="1">
      <alignment horizontal="center" vertical="center"/>
    </xf>
    <xf numFmtId="165" fontId="53" fillId="4" borderId="0" xfId="0" applyNumberFormat="1" applyFont="1" applyFill="1" applyBorder="1" applyAlignment="1" applyProtection="1">
      <alignment horizontal="center" vertical="center"/>
    </xf>
    <xf numFmtId="2" fontId="143" fillId="4" borderId="0" xfId="6" applyNumberFormat="1" applyFont="1" applyFill="1" applyBorder="1" applyAlignment="1" applyProtection="1">
      <alignment horizontal="center"/>
    </xf>
    <xf numFmtId="1" fontId="143" fillId="4" borderId="0" xfId="0" applyNumberFormat="1" applyFont="1" applyFill="1" applyBorder="1" applyAlignment="1" applyProtection="1">
      <alignment horizontal="center" vertical="center"/>
    </xf>
    <xf numFmtId="4" fontId="143" fillId="4" borderId="0" xfId="0" applyNumberFormat="1" applyFont="1" applyFill="1" applyBorder="1" applyAlignment="1" applyProtection="1">
      <alignment horizontal="center" vertical="center"/>
    </xf>
    <xf numFmtId="2" fontId="143" fillId="4" borderId="0" xfId="6" applyNumberFormat="1" applyFont="1" applyFill="1" applyBorder="1" applyAlignment="1" applyProtection="1">
      <alignment horizontal="center" vertical="center"/>
    </xf>
    <xf numFmtId="0" fontId="159" fillId="4" borderId="0" xfId="0" applyFont="1" applyFill="1" applyBorder="1" applyAlignment="1" applyProtection="1">
      <alignment vertical="center"/>
    </xf>
    <xf numFmtId="165" fontId="15" fillId="4" borderId="0" xfId="0" applyNumberFormat="1" applyFont="1" applyFill="1" applyBorder="1" applyAlignment="1" applyProtection="1">
      <alignment vertical="center"/>
    </xf>
    <xf numFmtId="165" fontId="143" fillId="4" borderId="0" xfId="0" applyNumberFormat="1" applyFont="1" applyFill="1" applyBorder="1" applyAlignment="1" applyProtection="1">
      <alignment vertical="center"/>
    </xf>
    <xf numFmtId="0" fontId="145" fillId="4" borderId="0" xfId="0" applyFont="1" applyFill="1" applyProtection="1"/>
    <xf numFmtId="0" fontId="196" fillId="4" borderId="0" xfId="0" applyFont="1" applyFill="1" applyAlignment="1" applyProtection="1">
      <alignment horizontal="left" vertical="center"/>
    </xf>
    <xf numFmtId="0" fontId="196" fillId="0" borderId="0" xfId="0" applyFont="1" applyAlignment="1" applyProtection="1">
      <alignment horizontal="left" vertical="center"/>
    </xf>
    <xf numFmtId="0" fontId="145" fillId="4" borderId="0" xfId="0" applyFont="1" applyFill="1" applyAlignment="1" applyProtection="1">
      <alignment horizontal="left" vertical="center" wrapText="1"/>
    </xf>
    <xf numFmtId="0" fontId="197" fillId="4" borderId="0" xfId="0" applyFont="1" applyFill="1" applyBorder="1" applyAlignment="1" applyProtection="1">
      <alignment horizontal="left" vertical="center"/>
    </xf>
    <xf numFmtId="0" fontId="145" fillId="4" borderId="0" xfId="0" applyFont="1" applyFill="1" applyAlignment="1" applyProtection="1">
      <alignment horizontal="left" vertical="center"/>
    </xf>
    <xf numFmtId="0" fontId="198" fillId="0" borderId="0" xfId="0" applyFont="1" applyAlignment="1" applyProtection="1">
      <alignment horizontal="left" vertical="center"/>
    </xf>
    <xf numFmtId="0" fontId="199" fillId="4" borderId="43" xfId="0" applyFont="1" applyFill="1" applyBorder="1" applyAlignment="1" applyProtection="1">
      <alignment horizontal="left" vertical="center"/>
    </xf>
    <xf numFmtId="0" fontId="199" fillId="4" borderId="43" xfId="0" applyFont="1" applyFill="1" applyBorder="1" applyAlignment="1" applyProtection="1">
      <alignment vertical="center"/>
    </xf>
    <xf numFmtId="0" fontId="145" fillId="4" borderId="0" xfId="0" applyFont="1" applyFill="1" applyAlignment="1" applyProtection="1">
      <alignment vertical="center"/>
    </xf>
    <xf numFmtId="0" fontId="157" fillId="4" borderId="38" xfId="0" applyFont="1" applyFill="1" applyBorder="1" applyAlignment="1" applyProtection="1">
      <alignment horizontal="left" vertical="center"/>
    </xf>
    <xf numFmtId="0" fontId="157" fillId="4" borderId="38" xfId="0" applyFont="1" applyFill="1" applyBorder="1" applyAlignment="1" applyProtection="1">
      <alignment vertical="center"/>
    </xf>
    <xf numFmtId="0" fontId="157" fillId="4" borderId="38" xfId="0" applyFont="1" applyFill="1" applyBorder="1" applyAlignment="1" applyProtection="1">
      <alignment vertical="center" wrapText="1"/>
    </xf>
    <xf numFmtId="0" fontId="199" fillId="4" borderId="38" xfId="0" applyFont="1" applyFill="1" applyBorder="1" applyAlignment="1" applyProtection="1">
      <alignment horizontal="left" vertical="center"/>
    </xf>
    <xf numFmtId="0" fontId="199" fillId="4" borderId="38" xfId="0" applyFont="1" applyFill="1" applyBorder="1" applyAlignment="1" applyProtection="1">
      <alignment vertical="center"/>
    </xf>
    <xf numFmtId="0" fontId="157" fillId="4" borderId="52" xfId="0" applyFont="1" applyFill="1" applyBorder="1" applyAlignment="1" applyProtection="1">
      <alignment horizontal="left" vertical="center"/>
    </xf>
    <xf numFmtId="0" fontId="157" fillId="4" borderId="52" xfId="0" applyFont="1" applyFill="1" applyBorder="1" applyAlignment="1" applyProtection="1">
      <alignment vertical="center" wrapText="1"/>
    </xf>
    <xf numFmtId="0" fontId="157" fillId="4" borderId="52" xfId="0" applyFont="1" applyFill="1" applyBorder="1" applyAlignment="1" applyProtection="1">
      <alignment vertical="center"/>
    </xf>
    <xf numFmtId="0" fontId="200" fillId="4" borderId="52" xfId="0" applyFont="1" applyFill="1" applyBorder="1" applyAlignment="1" applyProtection="1">
      <alignment horizontal="right" vertical="center"/>
    </xf>
    <xf numFmtId="0" fontId="200" fillId="4" borderId="52" xfId="0" applyFont="1" applyFill="1" applyBorder="1" applyAlignment="1" applyProtection="1">
      <alignment vertical="center"/>
    </xf>
    <xf numFmtId="0" fontId="200" fillId="0" borderId="52" xfId="0" applyFont="1" applyBorder="1" applyAlignment="1" applyProtection="1">
      <alignment vertical="center" wrapText="1"/>
    </xf>
    <xf numFmtId="0" fontId="157" fillId="4" borderId="61" xfId="0" applyFont="1" applyFill="1" applyBorder="1" applyAlignment="1" applyProtection="1">
      <alignment horizontal="left" vertical="center"/>
    </xf>
    <xf numFmtId="0" fontId="157" fillId="4" borderId="61" xfId="0" applyFont="1" applyFill="1" applyBorder="1" applyAlignment="1" applyProtection="1">
      <alignment vertical="center"/>
    </xf>
    <xf numFmtId="0" fontId="200" fillId="4" borderId="61" xfId="0" applyFont="1" applyFill="1" applyBorder="1" applyAlignment="1" applyProtection="1">
      <alignment horizontal="right" vertical="center"/>
    </xf>
    <xf numFmtId="0" fontId="200" fillId="4" borderId="61" xfId="0" applyFont="1" applyFill="1" applyBorder="1" applyAlignment="1" applyProtection="1">
      <alignment vertical="center"/>
    </xf>
    <xf numFmtId="0" fontId="200" fillId="4" borderId="38" xfId="0" applyFont="1" applyFill="1" applyBorder="1" applyAlignment="1" applyProtection="1">
      <alignment horizontal="right" vertical="center"/>
    </xf>
    <xf numFmtId="0" fontId="200" fillId="4" borderId="38" xfId="0" applyFont="1" applyFill="1" applyBorder="1" applyAlignment="1" applyProtection="1">
      <alignment vertical="center"/>
    </xf>
    <xf numFmtId="0" fontId="200" fillId="4" borderId="52" xfId="0" applyFont="1" applyFill="1" applyBorder="1" applyAlignment="1" applyProtection="1">
      <alignment horizontal="right"/>
    </xf>
    <xf numFmtId="0" fontId="200" fillId="4" borderId="52" xfId="0" applyFont="1" applyFill="1" applyBorder="1" applyProtection="1"/>
    <xf numFmtId="0" fontId="145" fillId="4" borderId="0" xfId="0" applyFont="1" applyFill="1" applyAlignment="1" applyProtection="1">
      <alignment vertical="center" wrapText="1"/>
    </xf>
    <xf numFmtId="0" fontId="138" fillId="4" borderId="0" xfId="0" applyFont="1" applyFill="1" applyAlignment="1" applyProtection="1">
      <alignment horizontal="left" vertical="center"/>
    </xf>
    <xf numFmtId="0" fontId="145" fillId="4" borderId="0" xfId="0" applyNumberFormat="1" applyFont="1" applyFill="1" applyProtection="1"/>
    <xf numFmtId="0" fontId="146" fillId="4" borderId="0" xfId="0" applyFont="1" applyFill="1" applyAlignment="1" applyProtection="1">
      <alignment horizontal="center" vertical="center" wrapText="1"/>
    </xf>
    <xf numFmtId="0" fontId="193" fillId="4" borderId="194" xfId="0" applyFont="1" applyFill="1" applyBorder="1" applyAlignment="1" applyProtection="1">
      <alignment vertical="top" wrapText="1"/>
    </xf>
    <xf numFmtId="0" fontId="201" fillId="4" borderId="0" xfId="0" applyFont="1" applyFill="1" applyBorder="1" applyAlignment="1" applyProtection="1">
      <alignment horizontal="center" vertical="center"/>
    </xf>
    <xf numFmtId="0" fontId="145" fillId="4" borderId="44" xfId="0" applyFont="1" applyFill="1" applyBorder="1" applyAlignment="1" applyProtection="1">
      <alignment horizontal="center" wrapText="1"/>
    </xf>
    <xf numFmtId="0" fontId="13" fillId="4" borderId="0" xfId="4" applyFont="1" applyFill="1" applyProtection="1"/>
    <xf numFmtId="0" fontId="13" fillId="4" borderId="0" xfId="4" applyFont="1" applyFill="1" applyAlignment="1" applyProtection="1">
      <alignment horizontal="center"/>
    </xf>
    <xf numFmtId="0" fontId="198" fillId="0" borderId="0" xfId="0" applyFont="1" applyAlignment="1" applyProtection="1">
      <alignment horizontal="center"/>
    </xf>
    <xf numFmtId="0" fontId="22" fillId="4" borderId="15" xfId="4" applyFont="1" applyFill="1" applyBorder="1" applyAlignment="1" applyProtection="1">
      <alignment horizontal="center" vertical="center"/>
    </xf>
    <xf numFmtId="0" fontId="13" fillId="4" borderId="0" xfId="4" applyFont="1" applyFill="1" applyBorder="1" applyProtection="1"/>
    <xf numFmtId="0" fontId="22" fillId="15" borderId="2" xfId="4" applyFont="1" applyFill="1" applyBorder="1" applyAlignment="1" applyProtection="1">
      <alignment horizontal="center" vertical="center"/>
    </xf>
    <xf numFmtId="0" fontId="13" fillId="4" borderId="4" xfId="4" applyFont="1" applyFill="1" applyBorder="1" applyProtection="1"/>
    <xf numFmtId="0" fontId="22" fillId="4" borderId="2" xfId="4" applyFont="1" applyFill="1" applyBorder="1" applyAlignment="1" applyProtection="1">
      <alignment vertical="center"/>
    </xf>
    <xf numFmtId="0" fontId="75" fillId="4" borderId="3" xfId="4" applyFont="1" applyFill="1" applyBorder="1" applyAlignment="1" applyProtection="1">
      <alignment vertical="center"/>
    </xf>
    <xf numFmtId="0" fontId="77" fillId="4" borderId="3" xfId="4" applyFont="1" applyFill="1" applyBorder="1" applyAlignment="1" applyProtection="1">
      <alignment vertical="center"/>
    </xf>
    <xf numFmtId="0" fontId="82" fillId="4" borderId="49" xfId="4" applyFont="1" applyFill="1" applyBorder="1" applyAlignment="1" applyProtection="1">
      <alignment horizontal="right" vertical="center"/>
    </xf>
    <xf numFmtId="0" fontId="22" fillId="4" borderId="3" xfId="4" applyFont="1" applyFill="1" applyBorder="1" applyAlignment="1" applyProtection="1">
      <alignment vertical="center"/>
    </xf>
    <xf numFmtId="0" fontId="22" fillId="4" borderId="23" xfId="4" applyFont="1" applyFill="1" applyBorder="1" applyAlignment="1" applyProtection="1">
      <alignment horizontal="center" vertical="center"/>
    </xf>
    <xf numFmtId="0" fontId="136" fillId="14" borderId="19" xfId="4" applyFont="1" applyFill="1" applyBorder="1" applyAlignment="1" applyProtection="1">
      <alignment horizontal="right" vertical="center"/>
    </xf>
    <xf numFmtId="0" fontId="22" fillId="15" borderId="16" xfId="4" applyFont="1" applyFill="1" applyBorder="1" applyAlignment="1" applyProtection="1">
      <alignment horizontal="right" vertical="center"/>
    </xf>
    <xf numFmtId="0" fontId="22" fillId="15" borderId="1" xfId="4" applyFont="1" applyFill="1" applyBorder="1" applyAlignment="1" applyProtection="1">
      <alignment horizontal="center" vertical="center"/>
    </xf>
    <xf numFmtId="0" fontId="75" fillId="4" borderId="3" xfId="4" applyFont="1" applyFill="1" applyBorder="1" applyAlignment="1" applyProtection="1">
      <alignment horizontal="left" vertical="center"/>
    </xf>
    <xf numFmtId="0" fontId="77" fillId="4" borderId="3" xfId="4" applyFont="1" applyFill="1" applyBorder="1" applyAlignment="1" applyProtection="1">
      <alignment horizontal="left" vertical="center"/>
    </xf>
    <xf numFmtId="0" fontId="22" fillId="15" borderId="19" xfId="4" applyFont="1" applyFill="1" applyBorder="1" applyAlignment="1" applyProtection="1">
      <alignment horizontal="right" vertical="center"/>
    </xf>
    <xf numFmtId="0" fontId="80" fillId="16" borderId="1" xfId="4" applyFont="1" applyFill="1" applyBorder="1" applyAlignment="1" applyProtection="1">
      <alignment horizontal="center" vertical="center"/>
    </xf>
    <xf numFmtId="0" fontId="22" fillId="4" borderId="62" xfId="4" applyFont="1" applyFill="1" applyBorder="1" applyAlignment="1" applyProtection="1">
      <alignment horizontal="center" vertical="center"/>
    </xf>
    <xf numFmtId="0" fontId="81" fillId="11" borderId="19" xfId="4" applyFont="1" applyFill="1" applyBorder="1" applyAlignment="1" applyProtection="1">
      <alignment horizontal="right" vertical="center"/>
    </xf>
    <xf numFmtId="0" fontId="22" fillId="16" borderId="16" xfId="4" applyFont="1" applyFill="1" applyBorder="1" applyAlignment="1" applyProtection="1">
      <alignment horizontal="right" vertical="center"/>
    </xf>
    <xf numFmtId="0" fontId="80" fillId="4" borderId="6" xfId="4" applyFont="1" applyFill="1" applyBorder="1" applyAlignment="1" applyProtection="1">
      <alignment horizontal="centerContinuous" vertical="center"/>
    </xf>
    <xf numFmtId="0" fontId="136" fillId="17" borderId="1" xfId="4" applyFont="1" applyFill="1" applyBorder="1" applyAlignment="1" applyProtection="1">
      <alignment horizontal="right" vertical="center"/>
    </xf>
    <xf numFmtId="0" fontId="22" fillId="18" borderId="49" xfId="4" applyFont="1" applyFill="1" applyBorder="1" applyAlignment="1" applyProtection="1">
      <alignment horizontal="center" vertical="center"/>
    </xf>
    <xf numFmtId="0" fontId="71" fillId="4" borderId="2" xfId="4" applyFont="1" applyFill="1" applyBorder="1" applyAlignment="1" applyProtection="1">
      <alignment horizontal="center" vertical="center"/>
    </xf>
    <xf numFmtId="167" fontId="48" fillId="18" borderId="5" xfId="4" applyNumberFormat="1" applyFont="1" applyFill="1" applyBorder="1" applyAlignment="1" applyProtection="1">
      <alignment horizontal="center" vertical="center"/>
    </xf>
    <xf numFmtId="166" fontId="48" fillId="18" borderId="5" xfId="4" applyNumberFormat="1" applyFont="1" applyFill="1" applyBorder="1" applyAlignment="1" applyProtection="1">
      <alignment horizontal="center" vertical="center"/>
    </xf>
    <xf numFmtId="3" fontId="53" fillId="13" borderId="19" xfId="4" applyNumberFormat="1" applyFont="1" applyFill="1" applyBorder="1" applyAlignment="1" applyProtection="1">
      <alignment horizontal="center" vertical="center"/>
    </xf>
    <xf numFmtId="0" fontId="143" fillId="4" borderId="0" xfId="0" applyFont="1" applyFill="1" applyAlignment="1" applyProtection="1">
      <alignment horizontal="center" vertical="center"/>
    </xf>
    <xf numFmtId="0" fontId="202" fillId="4" borderId="0" xfId="0" applyFont="1" applyFill="1" applyBorder="1" applyAlignment="1" applyProtection="1">
      <alignment horizontal="center" vertical="center"/>
    </xf>
    <xf numFmtId="4" fontId="143" fillId="4" borderId="0" xfId="0" applyNumberFormat="1" applyFont="1" applyFill="1" applyProtection="1"/>
    <xf numFmtId="4" fontId="143" fillId="4" borderId="0" xfId="0" applyNumberFormat="1" applyFont="1" applyFill="1" applyAlignment="1" applyProtection="1">
      <alignment horizontal="center" vertical="center"/>
    </xf>
    <xf numFmtId="2" fontId="143" fillId="4" borderId="0" xfId="0" applyNumberFormat="1" applyFont="1" applyFill="1" applyAlignment="1" applyProtection="1">
      <alignment horizontal="center" vertical="center"/>
    </xf>
    <xf numFmtId="4" fontId="194" fillId="4" borderId="0" xfId="0" applyNumberFormat="1" applyFont="1" applyFill="1" applyBorder="1" applyAlignment="1" applyProtection="1">
      <alignment horizontal="left" vertical="center"/>
    </xf>
    <xf numFmtId="0" fontId="53" fillId="4" borderId="0" xfId="0" applyFont="1" applyFill="1" applyAlignment="1" applyProtection="1">
      <alignment horizontal="center" vertical="center"/>
    </xf>
    <xf numFmtId="0" fontId="0" fillId="0" borderId="0" xfId="0" applyProtection="1"/>
    <xf numFmtId="0" fontId="203" fillId="4" borderId="0" xfId="0" applyFont="1" applyFill="1" applyBorder="1" applyAlignment="1" applyProtection="1">
      <alignment horizontal="center" vertical="center" wrapText="1"/>
    </xf>
    <xf numFmtId="0" fontId="162" fillId="4" borderId="0" xfId="0" applyFont="1" applyFill="1" applyBorder="1" applyAlignment="1" applyProtection="1">
      <alignment vertical="center" wrapText="1"/>
    </xf>
    <xf numFmtId="0" fontId="145" fillId="4" borderId="0" xfId="0" applyFont="1" applyFill="1" applyAlignment="1" applyProtection="1">
      <alignment horizontal="center" vertical="center"/>
    </xf>
    <xf numFmtId="0" fontId="156" fillId="4" borderId="198" xfId="0" applyFont="1" applyFill="1" applyBorder="1" applyAlignment="1" applyProtection="1">
      <alignment horizontal="center" vertical="center"/>
    </xf>
    <xf numFmtId="0" fontId="19" fillId="4" borderId="19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45" fillId="4" borderId="45" xfId="0" applyFont="1" applyFill="1" applyBorder="1" applyAlignment="1" applyProtection="1">
      <alignment horizontal="center" vertical="center"/>
    </xf>
    <xf numFmtId="165" fontId="145" fillId="4" borderId="43" xfId="0" applyNumberFormat="1" applyFont="1" applyFill="1" applyBorder="1" applyAlignment="1" applyProtection="1">
      <alignment horizontal="center" vertical="center"/>
    </xf>
    <xf numFmtId="165" fontId="145" fillId="4" borderId="55" xfId="0" applyNumberFormat="1" applyFont="1" applyFill="1" applyBorder="1" applyAlignment="1" applyProtection="1">
      <alignment horizontal="center" vertical="center"/>
    </xf>
    <xf numFmtId="165" fontId="145" fillId="4" borderId="0" xfId="0" applyNumberFormat="1" applyFont="1" applyFill="1" applyBorder="1" applyAlignment="1" applyProtection="1">
      <alignment horizontal="center" vertical="center"/>
    </xf>
    <xf numFmtId="165" fontId="145" fillId="4" borderId="45" xfId="0" applyNumberFormat="1" applyFont="1" applyFill="1" applyBorder="1" applyAlignment="1" applyProtection="1">
      <alignment horizontal="center" vertical="center"/>
    </xf>
    <xf numFmtId="0" fontId="145" fillId="4" borderId="50" xfId="0" applyFont="1" applyFill="1" applyBorder="1" applyAlignment="1" applyProtection="1">
      <alignment horizontal="center" vertical="center"/>
    </xf>
    <xf numFmtId="165" fontId="145" fillId="4" borderId="52" xfId="0" applyNumberFormat="1" applyFont="1" applyFill="1" applyBorder="1" applyAlignment="1" applyProtection="1">
      <alignment horizontal="center" vertical="center"/>
    </xf>
    <xf numFmtId="165" fontId="145" fillId="4" borderId="56" xfId="0" applyNumberFormat="1" applyFont="1" applyFill="1" applyBorder="1" applyAlignment="1" applyProtection="1">
      <alignment horizontal="center" vertical="center"/>
    </xf>
    <xf numFmtId="165" fontId="145" fillId="4" borderId="50" xfId="0" applyNumberFormat="1" applyFont="1" applyFill="1" applyBorder="1" applyAlignment="1" applyProtection="1">
      <alignment horizontal="center" vertical="center"/>
    </xf>
    <xf numFmtId="0" fontId="159" fillId="4" borderId="0" xfId="0" applyFont="1" applyFill="1" applyAlignment="1" applyProtection="1">
      <alignment horizontal="center" vertical="center"/>
    </xf>
    <xf numFmtId="0" fontId="172" fillId="4" borderId="0" xfId="0" applyFont="1" applyFill="1" applyProtection="1"/>
    <xf numFmtId="0" fontId="158" fillId="4" borderId="0" xfId="0" applyFont="1" applyFill="1" applyAlignment="1" applyProtection="1">
      <alignment horizontal="center" vertical="center"/>
    </xf>
    <xf numFmtId="0" fontId="172" fillId="4" borderId="0" xfId="0" applyFont="1" applyFill="1" applyAlignment="1" applyProtection="1">
      <alignment horizontal="left" vertical="center"/>
    </xf>
    <xf numFmtId="10" fontId="143" fillId="4" borderId="0" xfId="0" applyNumberFormat="1" applyFont="1" applyFill="1" applyBorder="1" applyAlignment="1" applyProtection="1">
      <alignment horizontal="center" vertical="center"/>
    </xf>
    <xf numFmtId="0" fontId="156" fillId="4" borderId="49" xfId="0" applyFont="1" applyFill="1" applyBorder="1" applyAlignment="1" applyProtection="1">
      <alignment horizontal="center" vertical="center"/>
    </xf>
    <xf numFmtId="0" fontId="19" fillId="4" borderId="49" xfId="0" applyFont="1" applyFill="1" applyBorder="1" applyAlignment="1" applyProtection="1">
      <alignment horizontal="center" vertical="center" wrapText="1"/>
    </xf>
    <xf numFmtId="0" fontId="19" fillId="4" borderId="49" xfId="0" applyFont="1" applyFill="1" applyBorder="1" applyAlignment="1" applyProtection="1">
      <alignment horizontal="center" vertical="center"/>
    </xf>
    <xf numFmtId="165" fontId="13" fillId="4" borderId="43" xfId="0" applyNumberFormat="1" applyFont="1" applyFill="1" applyBorder="1" applyAlignment="1" applyProtection="1">
      <alignment horizontal="center" vertical="center" wrapText="1"/>
    </xf>
    <xf numFmtId="165" fontId="13" fillId="4" borderId="55" xfId="0" quotePrefix="1" applyNumberFormat="1" applyFont="1" applyFill="1" applyBorder="1" applyAlignment="1" applyProtection="1">
      <alignment horizontal="center" vertical="center"/>
    </xf>
    <xf numFmtId="165" fontId="13" fillId="4" borderId="52" xfId="0" applyNumberFormat="1" applyFont="1" applyFill="1" applyBorder="1" applyAlignment="1" applyProtection="1">
      <alignment horizontal="center" vertical="center" wrapText="1"/>
    </xf>
    <xf numFmtId="165" fontId="13" fillId="4" borderId="56" xfId="0" quotePrefix="1" applyNumberFormat="1" applyFont="1" applyFill="1" applyBorder="1" applyAlignment="1" applyProtection="1">
      <alignment horizontal="center" vertical="center"/>
    </xf>
    <xf numFmtId="0" fontId="150" fillId="4" borderId="0" xfId="0" applyFont="1" applyFill="1" applyAlignment="1" applyProtection="1">
      <alignment vertical="center"/>
    </xf>
    <xf numFmtId="0" fontId="138" fillId="21" borderId="31" xfId="0" applyFont="1" applyFill="1" applyBorder="1" applyAlignment="1" applyProtection="1">
      <alignment vertical="center"/>
    </xf>
    <xf numFmtId="0" fontId="148" fillId="21" borderId="32" xfId="0" applyFont="1" applyFill="1" applyBorder="1" applyAlignment="1" applyProtection="1">
      <alignment vertical="center"/>
    </xf>
    <xf numFmtId="0" fontId="143" fillId="21" borderId="32" xfId="0" applyFont="1" applyFill="1" applyBorder="1" applyAlignment="1" applyProtection="1">
      <alignment vertical="center"/>
    </xf>
    <xf numFmtId="0" fontId="154" fillId="4" borderId="63" xfId="0" applyFont="1" applyFill="1" applyBorder="1" applyAlignment="1" applyProtection="1">
      <alignment horizontal="center" vertical="center"/>
    </xf>
    <xf numFmtId="0" fontId="154" fillId="4" borderId="64" xfId="0" applyFont="1" applyFill="1" applyBorder="1" applyAlignment="1" applyProtection="1">
      <alignment horizontal="center" vertical="center"/>
    </xf>
    <xf numFmtId="0" fontId="138" fillId="32" borderId="31" xfId="0" applyFont="1" applyFill="1" applyBorder="1" applyAlignment="1" applyProtection="1">
      <alignment vertical="center"/>
    </xf>
    <xf numFmtId="0" fontId="148" fillId="32" borderId="32" xfId="0" applyFont="1" applyFill="1" applyBorder="1" applyAlignment="1" applyProtection="1">
      <alignment vertical="center"/>
    </xf>
    <xf numFmtId="0" fontId="143" fillId="32" borderId="32" xfId="0" applyFont="1" applyFill="1" applyBorder="1" applyAlignment="1" applyProtection="1">
      <alignment vertical="center"/>
    </xf>
    <xf numFmtId="0" fontId="141" fillId="4" borderId="0" xfId="0" applyFont="1" applyFill="1" applyBorder="1" applyAlignment="1" applyProtection="1">
      <alignment vertical="top" wrapText="1"/>
    </xf>
    <xf numFmtId="0" fontId="15" fillId="4" borderId="0" xfId="0" applyFont="1" applyFill="1" applyBorder="1" applyAlignment="1" applyProtection="1">
      <alignment vertical="top" wrapText="1"/>
    </xf>
    <xf numFmtId="2" fontId="159" fillId="33" borderId="134" xfId="0" applyNumberFormat="1" applyFont="1" applyFill="1" applyBorder="1" applyAlignment="1" applyProtection="1">
      <alignment horizontal="right" vertical="center"/>
    </xf>
    <xf numFmtId="0" fontId="164" fillId="34" borderId="135" xfId="0" applyFont="1" applyFill="1" applyBorder="1" applyAlignment="1" applyProtection="1">
      <alignment horizontal="center" vertical="center"/>
    </xf>
    <xf numFmtId="2" fontId="159" fillId="34" borderId="134" xfId="0" applyNumberFormat="1" applyFont="1" applyFill="1" applyBorder="1" applyAlignment="1" applyProtection="1">
      <alignment horizontal="right" vertical="center"/>
    </xf>
    <xf numFmtId="0" fontId="138" fillId="34" borderId="0" xfId="0" applyFont="1" applyFill="1" applyBorder="1" applyAlignment="1" applyProtection="1">
      <alignment horizontal="right" vertical="center"/>
    </xf>
    <xf numFmtId="5" fontId="159" fillId="35" borderId="134" xfId="0" applyNumberFormat="1" applyFont="1" applyFill="1" applyBorder="1" applyAlignment="1" applyProtection="1">
      <alignment horizontal="center" vertical="center"/>
    </xf>
    <xf numFmtId="5" fontId="159" fillId="35" borderId="0" xfId="0" applyNumberFormat="1" applyFont="1" applyFill="1" applyBorder="1" applyAlignment="1" applyProtection="1">
      <alignment vertical="center"/>
    </xf>
    <xf numFmtId="165" fontId="145" fillId="4" borderId="51" xfId="0" applyNumberFormat="1" applyFont="1" applyFill="1" applyBorder="1" applyAlignment="1" applyProtection="1">
      <alignment horizontal="center" vertical="center"/>
    </xf>
    <xf numFmtId="165" fontId="145" fillId="4" borderId="41" xfId="0" applyNumberFormat="1" applyFont="1" applyFill="1" applyBorder="1" applyAlignment="1" applyProtection="1">
      <alignment horizontal="center" vertical="center"/>
    </xf>
    <xf numFmtId="165" fontId="145" fillId="4" borderId="58" xfId="0" applyNumberFormat="1" applyFont="1" applyFill="1" applyBorder="1" applyAlignment="1" applyProtection="1">
      <alignment horizontal="center" vertical="center"/>
    </xf>
    <xf numFmtId="0" fontId="145" fillId="4" borderId="51" xfId="0" applyFont="1" applyFill="1" applyBorder="1" applyAlignment="1" applyProtection="1">
      <alignment horizontal="center" vertical="center"/>
    </xf>
    <xf numFmtId="165" fontId="13" fillId="4" borderId="41" xfId="0" applyNumberFormat="1" applyFont="1" applyFill="1" applyBorder="1" applyAlignment="1" applyProtection="1">
      <alignment horizontal="center" vertical="center" wrapText="1"/>
    </xf>
    <xf numFmtId="165" fontId="13" fillId="4" borderId="58" xfId="0" quotePrefix="1" applyNumberFormat="1" applyFont="1" applyFill="1" applyBorder="1" applyAlignment="1" applyProtection="1">
      <alignment horizontal="center" vertical="center"/>
    </xf>
    <xf numFmtId="0" fontId="130" fillId="4" borderId="0" xfId="0" applyFont="1" applyFill="1" applyProtection="1"/>
    <xf numFmtId="0" fontId="137" fillId="4" borderId="29" xfId="0" applyFont="1" applyFill="1" applyBorder="1" applyAlignment="1" applyProtection="1">
      <alignment vertical="center"/>
    </xf>
    <xf numFmtId="4" fontId="150" fillId="4" borderId="65" xfId="0" applyNumberFormat="1" applyFont="1" applyFill="1" applyBorder="1" applyAlignment="1" applyProtection="1">
      <alignment vertical="center"/>
    </xf>
    <xf numFmtId="0" fontId="145" fillId="4" borderId="0" xfId="0" applyFont="1" applyFill="1" applyBorder="1" applyAlignment="1" applyProtection="1">
      <alignment vertical="center" wrapText="1"/>
    </xf>
    <xf numFmtId="0" fontId="143" fillId="4" borderId="0" xfId="0" applyFont="1" applyFill="1" applyBorder="1" applyAlignment="1" applyProtection="1">
      <alignment vertical="center" wrapText="1"/>
    </xf>
    <xf numFmtId="4" fontId="143" fillId="4" borderId="0" xfId="0" applyNumberFormat="1" applyFont="1" applyFill="1" applyBorder="1" applyAlignment="1" applyProtection="1">
      <alignment vertical="center"/>
    </xf>
    <xf numFmtId="0" fontId="156" fillId="4" borderId="144" xfId="0" applyFont="1" applyFill="1" applyBorder="1" applyAlignment="1" applyProtection="1">
      <alignment horizontal="left" vertical="center" wrapText="1"/>
    </xf>
    <xf numFmtId="0" fontId="156" fillId="4" borderId="145" xfId="0" applyFont="1" applyFill="1" applyBorder="1" applyAlignment="1" applyProtection="1">
      <alignment horizontal="left" vertical="center" wrapText="1"/>
    </xf>
    <xf numFmtId="0" fontId="153" fillId="22" borderId="204" xfId="0" applyFont="1" applyFill="1" applyBorder="1" applyAlignment="1" applyProtection="1">
      <alignment vertical="center"/>
    </xf>
    <xf numFmtId="0" fontId="172" fillId="4" borderId="205" xfId="0" applyFont="1" applyFill="1" applyBorder="1" applyProtection="1"/>
    <xf numFmtId="0" fontId="178" fillId="4" borderId="206" xfId="0" applyFont="1" applyFill="1" applyBorder="1" applyAlignment="1" applyProtection="1">
      <alignment horizontal="left" vertical="center"/>
    </xf>
    <xf numFmtId="0" fontId="157" fillId="4" borderId="207" xfId="0" applyFont="1" applyFill="1" applyBorder="1" applyProtection="1"/>
    <xf numFmtId="0" fontId="179" fillId="4" borderId="208" xfId="0" applyFont="1" applyFill="1" applyBorder="1" applyAlignment="1" applyProtection="1">
      <alignment horizontal="right" vertical="top"/>
    </xf>
    <xf numFmtId="0" fontId="179" fillId="4" borderId="208" xfId="0" applyFont="1" applyFill="1" applyBorder="1" applyAlignment="1" applyProtection="1">
      <alignment vertical="center"/>
    </xf>
    <xf numFmtId="0" fontId="180" fillId="4" borderId="208" xfId="0" applyFont="1" applyFill="1" applyBorder="1" applyAlignment="1" applyProtection="1">
      <alignment horizontal="right" vertical="top"/>
    </xf>
    <xf numFmtId="0" fontId="180" fillId="4" borderId="208" xfId="0" applyFont="1" applyFill="1" applyBorder="1" applyAlignment="1" applyProtection="1">
      <alignment horizontal="right" vertical="center"/>
    </xf>
    <xf numFmtId="0" fontId="181" fillId="4" borderId="207" xfId="0" applyFont="1" applyFill="1" applyBorder="1" applyAlignment="1" applyProtection="1">
      <alignment horizontal="left" vertical="top" wrapText="1"/>
    </xf>
    <xf numFmtId="0" fontId="143" fillId="4" borderId="208" xfId="0" applyFont="1" applyFill="1" applyBorder="1" applyProtection="1"/>
    <xf numFmtId="0" fontId="143" fillId="4" borderId="209" xfId="0" applyFont="1" applyFill="1" applyBorder="1" applyProtection="1"/>
    <xf numFmtId="0" fontId="156" fillId="4" borderId="210" xfId="0" applyFont="1" applyFill="1" applyBorder="1" applyAlignment="1" applyProtection="1">
      <alignment vertical="top" wrapText="1"/>
    </xf>
    <xf numFmtId="0" fontId="153" fillId="4" borderId="181" xfId="0" applyFont="1" applyFill="1" applyBorder="1" applyAlignment="1" applyProtection="1">
      <alignment horizontal="center" vertical="center"/>
    </xf>
    <xf numFmtId="0" fontId="154" fillId="4" borderId="185" xfId="0" applyFont="1" applyFill="1" applyBorder="1" applyAlignment="1" applyProtection="1">
      <alignment horizontal="center" vertical="center"/>
    </xf>
    <xf numFmtId="0" fontId="187" fillId="4" borderId="182" xfId="0" applyFont="1" applyFill="1" applyBorder="1" applyAlignment="1" applyProtection="1">
      <alignment horizontal="right" vertical="top"/>
    </xf>
    <xf numFmtId="0" fontId="145" fillId="4" borderId="192" xfId="0" applyFont="1" applyFill="1" applyBorder="1" applyAlignment="1" applyProtection="1">
      <alignment horizontal="left" vertical="center"/>
    </xf>
    <xf numFmtId="0" fontId="208" fillId="4" borderId="0" xfId="0" applyFont="1" applyFill="1" applyBorder="1" applyAlignment="1" applyProtection="1">
      <alignment vertical="top" wrapText="1"/>
    </xf>
    <xf numFmtId="0" fontId="199" fillId="4" borderId="0" xfId="0" applyFont="1" applyFill="1" applyBorder="1" applyAlignment="1" applyProtection="1">
      <alignment horizontal="left" vertical="center"/>
    </xf>
    <xf numFmtId="0" fontId="177" fillId="4" borderId="0" xfId="0" applyFont="1" applyFill="1" applyBorder="1" applyAlignment="1" applyProtection="1">
      <alignment horizontal="left" vertical="top"/>
    </xf>
    <xf numFmtId="0" fontId="156" fillId="4" borderId="144" xfId="0" applyFont="1" applyFill="1" applyBorder="1" applyProtection="1"/>
    <xf numFmtId="0" fontId="138" fillId="4" borderId="144" xfId="0" applyFont="1" applyFill="1" applyBorder="1" applyProtection="1"/>
    <xf numFmtId="0" fontId="138" fillId="4" borderId="145" xfId="0" applyFont="1" applyFill="1" applyBorder="1" applyProtection="1"/>
    <xf numFmtId="0" fontId="170" fillId="4" borderId="0" xfId="0" applyFont="1" applyFill="1" applyAlignment="1" applyProtection="1">
      <alignment horizontal="left" vertical="center"/>
    </xf>
    <xf numFmtId="0" fontId="169" fillId="4" borderId="0" xfId="0" applyFont="1" applyFill="1" applyAlignment="1" applyProtection="1">
      <alignment horizontal="left" vertical="center"/>
    </xf>
    <xf numFmtId="0" fontId="209" fillId="4" borderId="0" xfId="0" applyFont="1" applyFill="1" applyBorder="1" applyAlignment="1" applyProtection="1">
      <alignment horizontal="left" vertical="center"/>
    </xf>
    <xf numFmtId="3" fontId="159" fillId="4" borderId="211" xfId="0" applyNumberFormat="1" applyFont="1" applyFill="1" applyBorder="1" applyAlignment="1" applyProtection="1">
      <alignment horizontal="center" vertical="center"/>
    </xf>
    <xf numFmtId="0" fontId="210" fillId="4" borderId="34" xfId="0" applyFont="1" applyFill="1" applyBorder="1" applyAlignment="1" applyProtection="1">
      <alignment horizontal="left" vertical="center"/>
    </xf>
    <xf numFmtId="0" fontId="193" fillId="4" borderId="0" xfId="0" applyFont="1" applyFill="1" applyBorder="1" applyAlignment="1" applyProtection="1">
      <alignment vertical="top" wrapText="1"/>
    </xf>
    <xf numFmtId="0" fontId="19" fillId="10" borderId="212" xfId="0" applyFont="1" applyFill="1" applyBorder="1" applyAlignment="1" applyProtection="1">
      <alignment vertical="center"/>
    </xf>
    <xf numFmtId="0" fontId="19" fillId="10" borderId="213" xfId="0" applyFont="1" applyFill="1" applyBorder="1" applyAlignment="1" applyProtection="1">
      <alignment vertical="center"/>
    </xf>
    <xf numFmtId="0" fontId="19" fillId="10" borderId="214" xfId="0" applyFont="1" applyFill="1" applyBorder="1" applyAlignment="1" applyProtection="1">
      <alignment vertical="center"/>
    </xf>
    <xf numFmtId="0" fontId="19" fillId="10" borderId="215" xfId="0" applyFont="1" applyFill="1" applyBorder="1" applyAlignment="1" applyProtection="1">
      <alignment vertical="center"/>
    </xf>
    <xf numFmtId="0" fontId="19" fillId="10" borderId="216" xfId="0" applyFont="1" applyFill="1" applyBorder="1" applyAlignment="1" applyProtection="1">
      <alignment vertical="center"/>
    </xf>
    <xf numFmtId="0" fontId="19" fillId="10" borderId="217" xfId="0" applyFont="1" applyFill="1" applyBorder="1" applyAlignment="1" applyProtection="1">
      <alignment vertical="center"/>
    </xf>
    <xf numFmtId="0" fontId="199" fillId="8" borderId="128" xfId="0" applyFont="1" applyFill="1" applyBorder="1" applyAlignment="1" applyProtection="1">
      <alignment horizontal="center" vertical="center"/>
    </xf>
    <xf numFmtId="0" fontId="199" fillId="8" borderId="129" xfId="0" applyFont="1" applyFill="1" applyBorder="1" applyAlignment="1" applyProtection="1">
      <alignment horizontal="center" vertical="center"/>
    </xf>
    <xf numFmtId="0" fontId="156" fillId="26" borderId="218" xfId="0" applyFont="1" applyFill="1" applyBorder="1" applyAlignment="1" applyProtection="1">
      <alignment vertical="center"/>
    </xf>
    <xf numFmtId="0" fontId="156" fillId="26" borderId="135" xfId="0" applyFont="1" applyFill="1" applyBorder="1" applyAlignment="1" applyProtection="1">
      <alignment vertical="center"/>
    </xf>
    <xf numFmtId="2" fontId="145" fillId="26" borderId="218" xfId="0" applyNumberFormat="1" applyFont="1" applyFill="1" applyBorder="1" applyAlignment="1" applyProtection="1">
      <alignment horizontal="right" vertical="center"/>
    </xf>
    <xf numFmtId="2" fontId="145" fillId="8" borderId="130" xfId="0" applyNumberFormat="1" applyFont="1" applyFill="1" applyBorder="1" applyAlignment="1" applyProtection="1">
      <alignment horizontal="right" vertical="center"/>
    </xf>
    <xf numFmtId="4" fontId="145" fillId="8" borderId="128" xfId="0" applyNumberFormat="1" applyFont="1" applyFill="1" applyBorder="1" applyAlignment="1" applyProtection="1">
      <alignment horizontal="right" vertical="center"/>
    </xf>
    <xf numFmtId="4" fontId="13" fillId="10" borderId="219" xfId="0" applyNumberFormat="1" applyFont="1" applyFill="1" applyBorder="1" applyAlignment="1" applyProtection="1">
      <alignment horizontal="right" vertical="center"/>
    </xf>
    <xf numFmtId="4" fontId="13" fillId="10" borderId="213" xfId="0" applyNumberFormat="1" applyFont="1" applyFill="1" applyBorder="1" applyAlignment="1" applyProtection="1">
      <alignment horizontal="right" vertical="center"/>
    </xf>
    <xf numFmtId="4" fontId="13" fillId="10" borderId="220" xfId="0" applyNumberFormat="1" applyFont="1" applyFill="1" applyBorder="1" applyAlignment="1" applyProtection="1">
      <alignment horizontal="right" vertical="center"/>
    </xf>
    <xf numFmtId="4" fontId="13" fillId="10" borderId="221" xfId="0" applyNumberFormat="1" applyFont="1" applyFill="1" applyBorder="1" applyAlignment="1" applyProtection="1">
      <alignment horizontal="right" vertical="center"/>
    </xf>
    <xf numFmtId="4" fontId="13" fillId="10" borderId="214" xfId="0" applyNumberFormat="1" applyFont="1" applyFill="1" applyBorder="1" applyAlignment="1" applyProtection="1">
      <alignment horizontal="right" vertical="center"/>
    </xf>
    <xf numFmtId="4" fontId="13" fillId="10" borderId="222" xfId="0" applyNumberFormat="1" applyFont="1" applyFill="1" applyBorder="1" applyAlignment="1" applyProtection="1">
      <alignment horizontal="right" vertical="center"/>
    </xf>
    <xf numFmtId="10" fontId="145" fillId="24" borderId="134" xfId="6" applyNumberFormat="1" applyFont="1" applyFill="1" applyBorder="1" applyAlignment="1" applyProtection="1">
      <alignment horizontal="right" vertical="center"/>
    </xf>
    <xf numFmtId="9" fontId="211" fillId="24" borderId="135" xfId="6" applyFont="1" applyFill="1" applyBorder="1" applyAlignment="1" applyProtection="1">
      <alignment horizontal="right" vertical="center"/>
    </xf>
    <xf numFmtId="0" fontId="155" fillId="4" borderId="72" xfId="0" applyFont="1" applyFill="1" applyBorder="1" applyAlignment="1" applyProtection="1">
      <alignment horizontal="right" vertical="center"/>
    </xf>
    <xf numFmtId="0" fontId="158" fillId="4" borderId="72" xfId="0" applyFont="1" applyFill="1" applyBorder="1" applyAlignment="1" applyProtection="1">
      <alignment horizontal="center" vertical="center"/>
    </xf>
    <xf numFmtId="0" fontId="158" fillId="4" borderId="72" xfId="0" applyFont="1" applyFill="1" applyBorder="1" applyAlignment="1" applyProtection="1">
      <alignment horizontal="left" vertical="center"/>
    </xf>
    <xf numFmtId="0" fontId="157" fillId="4" borderId="72" xfId="0" applyFont="1" applyFill="1" applyBorder="1" applyAlignment="1" applyProtection="1">
      <alignment vertical="top"/>
    </xf>
    <xf numFmtId="0" fontId="212" fillId="4" borderId="0" xfId="0" applyFont="1" applyFill="1" applyAlignment="1" applyProtection="1">
      <alignment horizontal="left"/>
    </xf>
    <xf numFmtId="10" fontId="158" fillId="4" borderId="72" xfId="6" applyNumberFormat="1" applyFont="1" applyFill="1" applyBorder="1" applyAlignment="1" applyProtection="1">
      <alignment horizontal="center" vertical="center"/>
    </xf>
    <xf numFmtId="0" fontId="13" fillId="4" borderId="4" xfId="4" applyFont="1" applyFill="1" applyBorder="1" applyAlignment="1" applyProtection="1">
      <alignment vertical="center"/>
    </xf>
    <xf numFmtId="0" fontId="13" fillId="4" borderId="11" xfId="4" applyFont="1" applyFill="1" applyBorder="1" applyProtection="1"/>
    <xf numFmtId="0" fontId="13" fillId="4" borderId="11" xfId="4" applyFont="1" applyFill="1" applyBorder="1" applyAlignment="1" applyProtection="1">
      <alignment vertical="center"/>
    </xf>
    <xf numFmtId="0" fontId="71" fillId="4" borderId="11" xfId="4" applyFont="1" applyFill="1" applyBorder="1" applyAlignment="1" applyProtection="1">
      <alignment vertical="center"/>
    </xf>
    <xf numFmtId="0" fontId="22" fillId="4" borderId="11" xfId="4" applyFont="1" applyFill="1" applyBorder="1" applyAlignment="1" applyProtection="1">
      <alignment horizontal="center" vertical="center"/>
    </xf>
    <xf numFmtId="0" fontId="78" fillId="4" borderId="11" xfId="4" applyFont="1" applyFill="1" applyBorder="1" applyAlignment="1" applyProtection="1">
      <alignment horizontal="right" vertical="center"/>
    </xf>
    <xf numFmtId="0" fontId="22" fillId="4" borderId="11" xfId="4" applyFont="1" applyFill="1" applyBorder="1" applyAlignment="1" applyProtection="1">
      <alignment horizontal="right" vertical="center"/>
    </xf>
    <xf numFmtId="0" fontId="80" fillId="4" borderId="11" xfId="4" applyFont="1" applyFill="1" applyBorder="1" applyAlignment="1" applyProtection="1">
      <alignment horizontal="centerContinuous" vertical="center"/>
    </xf>
    <xf numFmtId="4" fontId="15" fillId="4" borderId="127" xfId="0" applyNumberFormat="1" applyFont="1" applyFill="1" applyBorder="1" applyAlignment="1" applyProtection="1">
      <alignment horizontal="center"/>
      <protection locked="0"/>
    </xf>
    <xf numFmtId="4" fontId="15" fillId="4" borderId="0" xfId="0" applyNumberFormat="1" applyFont="1" applyFill="1" applyAlignment="1" applyProtection="1">
      <alignment horizontal="center"/>
      <protection locked="0"/>
    </xf>
    <xf numFmtId="0" fontId="172" fillId="4" borderId="0" xfId="0" applyFont="1" applyFill="1" applyAlignment="1" applyProtection="1">
      <alignment vertical="center"/>
    </xf>
    <xf numFmtId="0" fontId="154" fillId="4" borderId="0" xfId="0" applyFont="1" applyFill="1" applyAlignment="1" applyProtection="1">
      <alignment vertical="center"/>
    </xf>
    <xf numFmtId="0" fontId="15" fillId="4" borderId="0" xfId="0" applyFont="1" applyFill="1" applyAlignment="1" applyProtection="1">
      <alignment horizontal="left" vertical="center"/>
    </xf>
    <xf numFmtId="4" fontId="15" fillId="12" borderId="19" xfId="0" applyNumberFormat="1" applyFont="1" applyFill="1" applyBorder="1" applyAlignment="1" applyProtection="1">
      <alignment horizontal="right" vertical="center"/>
    </xf>
    <xf numFmtId="4" fontId="15" fillId="12" borderId="73" xfId="0" applyNumberFormat="1" applyFont="1" applyFill="1" applyBorder="1" applyAlignment="1" applyProtection="1">
      <alignment horizontal="right" vertical="center"/>
    </xf>
    <xf numFmtId="4" fontId="15" fillId="12" borderId="74" xfId="0" applyNumberFormat="1" applyFont="1" applyFill="1" applyBorder="1" applyAlignment="1" applyProtection="1">
      <alignment horizontal="right" vertical="center"/>
    </xf>
    <xf numFmtId="0" fontId="213" fillId="4" borderId="223" xfId="0" applyFont="1" applyFill="1" applyBorder="1" applyAlignment="1" applyProtection="1">
      <alignment horizontal="center" vertical="center"/>
    </xf>
    <xf numFmtId="0" fontId="92" fillId="24" borderId="131" xfId="6" quotePrefix="1" applyNumberFormat="1" applyFont="1" applyFill="1" applyBorder="1" applyAlignment="1" applyProtection="1">
      <alignment horizontal="center" vertical="center"/>
    </xf>
    <xf numFmtId="0" fontId="214" fillId="4" borderId="223" xfId="0" applyFont="1" applyFill="1" applyBorder="1" applyAlignment="1" applyProtection="1">
      <alignment horizontal="center" vertical="center"/>
    </xf>
    <xf numFmtId="0" fontId="145" fillId="4" borderId="53" xfId="0" applyFont="1" applyFill="1" applyBorder="1" applyAlignment="1" applyProtection="1">
      <alignment horizontal="center" vertical="center"/>
    </xf>
    <xf numFmtId="165" fontId="13" fillId="4" borderId="75" xfId="0" applyNumberFormat="1" applyFont="1" applyFill="1" applyBorder="1" applyAlignment="1" applyProtection="1">
      <alignment horizontal="center" vertical="center" wrapText="1"/>
    </xf>
    <xf numFmtId="1" fontId="143" fillId="4" borderId="0" xfId="0" applyNumberFormat="1" applyFont="1" applyFill="1" applyProtection="1"/>
    <xf numFmtId="3" fontId="143" fillId="4" borderId="0" xfId="0" applyNumberFormat="1" applyFont="1" applyFill="1" applyBorder="1" applyAlignment="1" applyProtection="1">
      <alignment horizontal="center" vertical="center"/>
      <protection locked="0"/>
    </xf>
    <xf numFmtId="0" fontId="213" fillId="4" borderId="0" xfId="0" applyFont="1" applyFill="1" applyBorder="1" applyAlignment="1" applyProtection="1">
      <alignment horizontal="center" wrapText="1"/>
    </xf>
    <xf numFmtId="0" fontId="145" fillId="4" borderId="44" xfId="0" applyFont="1" applyFill="1" applyBorder="1" applyAlignment="1" applyProtection="1">
      <alignment vertical="center" wrapText="1"/>
    </xf>
    <xf numFmtId="0" fontId="143" fillId="4" borderId="44" xfId="0" applyFont="1" applyFill="1" applyBorder="1" applyProtection="1"/>
    <xf numFmtId="3" fontId="215" fillId="4" borderId="3" xfId="0" applyNumberFormat="1" applyFont="1" applyFill="1" applyBorder="1" applyAlignment="1" applyProtection="1">
      <alignment horizontal="center" vertical="center"/>
    </xf>
    <xf numFmtId="0" fontId="15" fillId="4" borderId="3" xfId="0" applyFont="1" applyFill="1" applyBorder="1" applyAlignment="1" applyProtection="1">
      <alignment vertical="center"/>
    </xf>
    <xf numFmtId="0" fontId="48" fillId="4" borderId="8" xfId="0" applyFont="1" applyFill="1" applyBorder="1" applyAlignment="1" applyProtection="1">
      <alignment horizontal="center" vertical="center"/>
    </xf>
    <xf numFmtId="0" fontId="49" fillId="4" borderId="3" xfId="0" applyFont="1" applyFill="1" applyBorder="1" applyAlignment="1" applyProtection="1">
      <alignment vertical="center"/>
    </xf>
    <xf numFmtId="0" fontId="13" fillId="4" borderId="49" xfId="0" applyFont="1" applyFill="1" applyBorder="1" applyAlignment="1" applyProtection="1">
      <alignment horizontal="left" vertical="center" indent="2"/>
    </xf>
    <xf numFmtId="0" fontId="48" fillId="23" borderId="16" xfId="0" applyFont="1" applyFill="1" applyBorder="1" applyAlignment="1" applyProtection="1">
      <alignment horizontal="center" vertical="center"/>
    </xf>
    <xf numFmtId="0" fontId="13" fillId="4" borderId="3" xfId="0" applyFont="1" applyFill="1" applyBorder="1" applyAlignment="1" applyProtection="1">
      <alignment vertical="center"/>
    </xf>
    <xf numFmtId="0" fontId="143" fillId="4" borderId="49" xfId="0" applyFont="1" applyFill="1" applyBorder="1" applyAlignment="1" applyProtection="1">
      <alignment vertical="center"/>
    </xf>
    <xf numFmtId="0" fontId="216" fillId="4" borderId="0" xfId="0" applyFont="1" applyFill="1" applyProtection="1"/>
    <xf numFmtId="0" fontId="216" fillId="4" borderId="0" xfId="0" applyNumberFormat="1" applyFont="1" applyFill="1" applyProtection="1"/>
    <xf numFmtId="0" fontId="160" fillId="4" borderId="0" xfId="0" applyFont="1" applyFill="1" applyProtection="1"/>
    <xf numFmtId="9" fontId="143" fillId="4" borderId="0" xfId="0" applyNumberFormat="1" applyFont="1" applyFill="1" applyProtection="1"/>
    <xf numFmtId="3" fontId="143" fillId="4" borderId="3" xfId="0" applyNumberFormat="1" applyFont="1" applyFill="1" applyBorder="1" applyAlignment="1" applyProtection="1">
      <alignment horizontal="center" vertical="center"/>
      <protection locked="0"/>
    </xf>
    <xf numFmtId="0" fontId="172" fillId="4" borderId="0" xfId="0" applyFont="1" applyFill="1" applyAlignment="1" applyProtection="1">
      <alignment horizontal="center" vertical="center"/>
    </xf>
    <xf numFmtId="3" fontId="193" fillId="4" borderId="55" xfId="0" applyNumberFormat="1" applyFont="1" applyFill="1" applyBorder="1" applyAlignment="1" applyProtection="1">
      <alignment horizontal="center" vertical="center"/>
    </xf>
    <xf numFmtId="1" fontId="157" fillId="11" borderId="2" xfId="0" applyNumberFormat="1" applyFont="1" applyFill="1" applyBorder="1" applyAlignment="1" applyProtection="1">
      <alignment horizontal="center" vertical="center" wrapText="1"/>
    </xf>
    <xf numFmtId="0" fontId="157" fillId="11" borderId="48" xfId="0" applyFont="1" applyFill="1" applyBorder="1" applyAlignment="1" applyProtection="1">
      <alignment horizontal="center" vertical="center" wrapText="1"/>
    </xf>
    <xf numFmtId="165" fontId="138" fillId="4" borderId="0" xfId="0" applyNumberFormat="1" applyFont="1" applyFill="1" applyBorder="1" applyProtection="1"/>
    <xf numFmtId="1" fontId="48" fillId="4" borderId="1" xfId="4" applyNumberFormat="1" applyFont="1" applyFill="1" applyBorder="1" applyAlignment="1" applyProtection="1">
      <alignment horizontal="center" vertical="center"/>
    </xf>
    <xf numFmtId="1" fontId="150" fillId="4" borderId="1" xfId="0" applyNumberFormat="1" applyFont="1" applyFill="1" applyBorder="1" applyAlignment="1" applyProtection="1">
      <alignment horizontal="center" vertical="center"/>
    </xf>
    <xf numFmtId="1" fontId="150" fillId="32" borderId="1" xfId="0" applyNumberFormat="1" applyFont="1" applyFill="1" applyBorder="1" applyAlignment="1" applyProtection="1">
      <alignment horizontal="center" vertical="center" wrapText="1"/>
    </xf>
    <xf numFmtId="1" fontId="150" fillId="4" borderId="1" xfId="0" applyNumberFormat="1" applyFont="1" applyFill="1" applyBorder="1" applyAlignment="1" applyProtection="1">
      <alignment horizontal="center" vertical="center" wrapText="1"/>
    </xf>
    <xf numFmtId="1" fontId="150" fillId="32" borderId="2" xfId="0" applyNumberFormat="1" applyFont="1" applyFill="1" applyBorder="1" applyAlignment="1" applyProtection="1">
      <alignment horizontal="center" vertical="center" wrapText="1"/>
    </xf>
    <xf numFmtId="1" fontId="150" fillId="4" borderId="2" xfId="0" applyNumberFormat="1" applyFont="1" applyFill="1" applyBorder="1" applyAlignment="1" applyProtection="1">
      <alignment horizontal="center" vertical="center" wrapText="1"/>
    </xf>
    <xf numFmtId="3" fontId="145" fillId="7" borderId="18" xfId="0" quotePrefix="1" applyNumberFormat="1" applyFont="1" applyFill="1" applyBorder="1" applyAlignment="1" applyProtection="1">
      <alignment horizontal="center" vertical="center"/>
    </xf>
    <xf numFmtId="3" fontId="145" fillId="7" borderId="1" xfId="0" quotePrefix="1" applyNumberFormat="1" applyFont="1" applyFill="1" applyBorder="1" applyAlignment="1" applyProtection="1">
      <alignment horizontal="center" vertical="center"/>
    </xf>
    <xf numFmtId="170" fontId="145" fillId="4" borderId="45" xfId="0" applyNumberFormat="1" applyFont="1" applyFill="1" applyBorder="1" applyAlignment="1" applyProtection="1">
      <alignment horizontal="center" vertical="center"/>
      <protection locked="0"/>
    </xf>
    <xf numFmtId="170" fontId="145" fillId="4" borderId="43" xfId="0" applyNumberFormat="1" applyFont="1" applyFill="1" applyBorder="1" applyAlignment="1" applyProtection="1">
      <alignment horizontal="center" vertical="center"/>
      <protection locked="0"/>
    </xf>
    <xf numFmtId="170" fontId="145" fillId="4" borderId="55" xfId="0" applyNumberFormat="1" applyFont="1" applyFill="1" applyBorder="1" applyAlignment="1" applyProtection="1">
      <alignment horizontal="center" vertical="center"/>
      <protection locked="0"/>
    </xf>
    <xf numFmtId="170" fontId="145" fillId="4" borderId="50" xfId="0" applyNumberFormat="1" applyFont="1" applyFill="1" applyBorder="1" applyAlignment="1" applyProtection="1">
      <alignment horizontal="center" vertical="center"/>
      <protection locked="0"/>
    </xf>
    <xf numFmtId="170" fontId="145" fillId="4" borderId="52" xfId="0" applyNumberFormat="1" applyFont="1" applyFill="1" applyBorder="1" applyAlignment="1" applyProtection="1">
      <alignment horizontal="center" vertical="center"/>
      <protection locked="0"/>
    </xf>
    <xf numFmtId="170" fontId="145" fillId="4" borderId="56" xfId="0" applyNumberFormat="1" applyFont="1" applyFill="1" applyBorder="1" applyAlignment="1" applyProtection="1">
      <alignment horizontal="center" vertical="center"/>
      <protection locked="0"/>
    </xf>
    <xf numFmtId="170" fontId="145" fillId="4" borderId="79" xfId="0" applyNumberFormat="1" applyFont="1" applyFill="1" applyBorder="1" applyAlignment="1" applyProtection="1">
      <alignment horizontal="center" vertical="center"/>
      <protection locked="0"/>
    </xf>
    <xf numFmtId="170" fontId="145" fillId="4" borderId="61" xfId="0" applyNumberFormat="1" applyFont="1" applyFill="1" applyBorder="1" applyAlignment="1" applyProtection="1">
      <alignment horizontal="center" vertical="center"/>
      <protection locked="0"/>
    </xf>
    <xf numFmtId="170" fontId="145" fillId="4" borderId="80" xfId="0" applyNumberFormat="1" applyFont="1" applyFill="1" applyBorder="1" applyAlignment="1" applyProtection="1">
      <alignment horizontal="center" vertical="center"/>
      <protection locked="0"/>
    </xf>
    <xf numFmtId="3" fontId="159" fillId="4" borderId="225" xfId="0" applyNumberFormat="1" applyFont="1" applyFill="1" applyBorder="1" applyAlignment="1" applyProtection="1">
      <alignment horizontal="center" vertical="center"/>
    </xf>
    <xf numFmtId="0" fontId="138" fillId="6" borderId="31" xfId="0" applyFont="1" applyFill="1" applyBorder="1" applyProtection="1"/>
    <xf numFmtId="0" fontId="148" fillId="6" borderId="32" xfId="0" applyFont="1" applyFill="1" applyBorder="1" applyProtection="1"/>
    <xf numFmtId="0" fontId="143" fillId="6" borderId="32" xfId="0" applyFont="1" applyFill="1" applyBorder="1" applyProtection="1"/>
    <xf numFmtId="0" fontId="149" fillId="36" borderId="33" xfId="0" applyFont="1" applyFill="1" applyBorder="1" applyProtection="1"/>
    <xf numFmtId="9" fontId="159" fillId="6" borderId="129" xfId="6" quotePrefix="1" applyFont="1" applyFill="1" applyBorder="1" applyAlignment="1" applyProtection="1">
      <alignment vertical="center"/>
    </xf>
    <xf numFmtId="9" fontId="160" fillId="6" borderId="131" xfId="6" quotePrefix="1" applyFont="1" applyFill="1" applyBorder="1" applyAlignment="1" applyProtection="1">
      <alignment vertical="center"/>
    </xf>
    <xf numFmtId="0" fontId="155" fillId="4" borderId="59" xfId="0" applyFont="1" applyFill="1" applyBorder="1" applyAlignment="1" applyProtection="1">
      <alignment horizontal="right" vertical="center"/>
    </xf>
    <xf numFmtId="0" fontId="158" fillId="4" borderId="59" xfId="0" applyFont="1" applyFill="1" applyBorder="1" applyAlignment="1" applyProtection="1">
      <alignment horizontal="center" vertical="center"/>
    </xf>
    <xf numFmtId="0" fontId="158" fillId="4" borderId="59" xfId="0" applyFont="1" applyFill="1" applyBorder="1" applyAlignment="1" applyProtection="1">
      <alignment horizontal="left" vertical="center"/>
    </xf>
    <xf numFmtId="0" fontId="157" fillId="4" borderId="59" xfId="0" applyFont="1" applyFill="1" applyBorder="1" applyAlignment="1" applyProtection="1">
      <alignment vertical="top"/>
    </xf>
    <xf numFmtId="3" fontId="213" fillId="4" borderId="0" xfId="0" applyNumberFormat="1" applyFont="1" applyFill="1" applyBorder="1" applyAlignment="1" applyProtection="1">
      <alignment horizontal="center" vertical="center" wrapText="1"/>
    </xf>
    <xf numFmtId="3" fontId="214" fillId="4" borderId="0" xfId="0" applyNumberFormat="1" applyFont="1" applyFill="1" applyBorder="1" applyAlignment="1" applyProtection="1">
      <alignment horizontal="center" vertical="center" wrapText="1"/>
    </xf>
    <xf numFmtId="0" fontId="138" fillId="4" borderId="0" xfId="0" applyFont="1" applyFill="1" applyAlignment="1" applyProtection="1">
      <alignment vertical="top"/>
    </xf>
    <xf numFmtId="3" fontId="143" fillId="4" borderId="3" xfId="0" applyNumberFormat="1" applyFont="1" applyFill="1" applyBorder="1" applyAlignment="1" applyProtection="1">
      <alignment horizontal="center" vertical="top" wrapText="1"/>
      <protection locked="0"/>
    </xf>
    <xf numFmtId="3" fontId="212" fillId="37" borderId="3" xfId="0" applyNumberFormat="1" applyFont="1" applyFill="1" applyBorder="1" applyAlignment="1" applyProtection="1">
      <alignment horizontal="center" vertical="top" wrapText="1"/>
    </xf>
    <xf numFmtId="3" fontId="171" fillId="4" borderId="3" xfId="0" applyNumberFormat="1" applyFont="1" applyFill="1" applyBorder="1" applyAlignment="1" applyProtection="1">
      <alignment horizontal="center" vertical="top" wrapText="1"/>
    </xf>
    <xf numFmtId="0" fontId="138" fillId="6" borderId="31" xfId="0" applyFont="1" applyFill="1" applyBorder="1" applyAlignment="1" applyProtection="1">
      <alignment vertical="center"/>
    </xf>
    <xf numFmtId="0" fontId="148" fillId="6" borderId="32" xfId="0" applyFont="1" applyFill="1" applyBorder="1" applyAlignment="1" applyProtection="1">
      <alignment vertical="center"/>
    </xf>
    <xf numFmtId="0" fontId="143" fillId="6" borderId="32" xfId="0" applyFont="1" applyFill="1" applyBorder="1" applyAlignment="1" applyProtection="1">
      <alignment vertical="center"/>
    </xf>
    <xf numFmtId="0" fontId="109" fillId="4" borderId="0" xfId="5" applyFont="1" applyFill="1" applyProtection="1"/>
    <xf numFmtId="0" fontId="1" fillId="4" borderId="0" xfId="5" applyFont="1" applyFill="1" applyProtection="1"/>
    <xf numFmtId="0" fontId="1" fillId="4" borderId="0" xfId="5" applyFill="1" applyProtection="1"/>
    <xf numFmtId="0" fontId="137" fillId="4" borderId="0" xfId="0" applyFont="1" applyFill="1" applyBorder="1" applyAlignment="1" applyProtection="1">
      <alignment horizontal="center" vertical="center" wrapText="1"/>
    </xf>
    <xf numFmtId="0" fontId="219" fillId="4" borderId="0" xfId="0" applyFont="1" applyFill="1" applyBorder="1" applyAlignment="1" applyProtection="1">
      <alignment horizontal="left" vertical="top" wrapText="1"/>
    </xf>
    <xf numFmtId="0" fontId="15" fillId="4" borderId="0" xfId="5" applyFont="1" applyFill="1" applyProtection="1"/>
    <xf numFmtId="3" fontId="15" fillId="4" borderId="3" xfId="5" applyNumberFormat="1" applyFont="1" applyFill="1" applyBorder="1" applyAlignment="1" applyProtection="1">
      <alignment horizontal="center" vertical="center"/>
      <protection locked="0"/>
    </xf>
    <xf numFmtId="3" fontId="15" fillId="4" borderId="16" xfId="5" applyNumberFormat="1" applyFont="1" applyFill="1" applyBorder="1" applyAlignment="1" applyProtection="1">
      <alignment horizontal="center" vertical="center"/>
      <protection locked="0"/>
    </xf>
    <xf numFmtId="3" fontId="15" fillId="4" borderId="11" xfId="5" applyNumberFormat="1" applyFont="1" applyFill="1" applyBorder="1" applyAlignment="1" applyProtection="1">
      <alignment horizontal="center" vertical="center"/>
      <protection locked="0"/>
    </xf>
    <xf numFmtId="3" fontId="15" fillId="4" borderId="49" xfId="5" applyNumberFormat="1" applyFont="1" applyFill="1" applyBorder="1" applyAlignment="1" applyProtection="1">
      <alignment horizontal="center" vertical="center"/>
      <protection locked="0"/>
    </xf>
    <xf numFmtId="9" fontId="166" fillId="8" borderId="128" xfId="6" applyFont="1" applyFill="1" applyBorder="1" applyAlignment="1" applyProtection="1">
      <alignment vertical="center"/>
    </xf>
    <xf numFmtId="9" fontId="166" fillId="8" borderId="129" xfId="6" applyFont="1" applyFill="1" applyBorder="1" applyAlignment="1" applyProtection="1">
      <alignment vertical="center"/>
    </xf>
    <xf numFmtId="10" fontId="145" fillId="8" borderId="130" xfId="6" applyNumberFormat="1" applyFont="1" applyFill="1" applyBorder="1" applyAlignment="1" applyProtection="1">
      <alignment horizontal="center" vertical="center"/>
    </xf>
    <xf numFmtId="10" fontId="145" fillId="8" borderId="128" xfId="6" applyNumberFormat="1" applyFont="1" applyFill="1" applyBorder="1" applyAlignment="1" applyProtection="1">
      <alignment horizontal="center" vertical="center"/>
    </xf>
    <xf numFmtId="0" fontId="145" fillId="24" borderId="158" xfId="0" applyFont="1" applyFill="1" applyBorder="1" applyAlignment="1" applyProtection="1">
      <alignment horizontal="left" vertical="center"/>
    </xf>
    <xf numFmtId="0" fontId="143" fillId="4" borderId="227" xfId="0" applyFont="1" applyFill="1" applyBorder="1" applyProtection="1"/>
    <xf numFmtId="0" fontId="157" fillId="4" borderId="228" xfId="0" applyFont="1" applyFill="1" applyBorder="1" applyProtection="1"/>
    <xf numFmtId="0" fontId="181" fillId="4" borderId="228" xfId="0" applyFont="1" applyFill="1" applyBorder="1" applyAlignment="1" applyProtection="1">
      <alignment horizontal="left" vertical="top" wrapText="1"/>
    </xf>
    <xf numFmtId="0" fontId="156" fillId="4" borderId="229" xfId="0" applyFont="1" applyFill="1" applyBorder="1" applyAlignment="1" applyProtection="1">
      <alignment vertical="top" wrapText="1"/>
    </xf>
    <xf numFmtId="0" fontId="156" fillId="4" borderId="230" xfId="0" applyFont="1" applyFill="1" applyBorder="1" applyAlignment="1" applyProtection="1">
      <alignment vertical="top" wrapText="1"/>
    </xf>
    <xf numFmtId="0" fontId="145" fillId="6" borderId="231" xfId="0" applyFont="1" applyFill="1" applyBorder="1" applyAlignment="1" applyProtection="1">
      <alignment vertical="center"/>
    </xf>
    <xf numFmtId="0" fontId="172" fillId="4" borderId="232" xfId="0" applyFont="1" applyFill="1" applyBorder="1" applyProtection="1"/>
    <xf numFmtId="0" fontId="178" fillId="4" borderId="228" xfId="0" applyFont="1" applyFill="1" applyBorder="1" applyAlignment="1" applyProtection="1">
      <alignment horizontal="left" vertical="center"/>
    </xf>
    <xf numFmtId="0" fontId="171" fillId="6" borderId="233" xfId="0" applyFont="1" applyFill="1" applyBorder="1" applyAlignment="1" applyProtection="1">
      <alignment vertical="center"/>
    </xf>
    <xf numFmtId="0" fontId="172" fillId="6" borderId="233" xfId="0" applyFont="1" applyFill="1" applyBorder="1" applyAlignment="1" applyProtection="1">
      <alignment vertical="center"/>
    </xf>
    <xf numFmtId="0" fontId="153" fillId="36" borderId="233" xfId="0" applyFont="1" applyFill="1" applyBorder="1" applyAlignment="1" applyProtection="1">
      <alignment horizontal="left" vertical="center"/>
    </xf>
    <xf numFmtId="0" fontId="220" fillId="4" borderId="232" xfId="0" applyFont="1" applyFill="1" applyBorder="1" applyAlignment="1" applyProtection="1">
      <alignment horizontal="right" vertical="top"/>
    </xf>
    <xf numFmtId="0" fontId="220" fillId="4" borderId="232" xfId="0" applyFont="1" applyFill="1" applyBorder="1" applyAlignment="1" applyProtection="1">
      <alignment vertical="center"/>
    </xf>
    <xf numFmtId="0" fontId="221" fillId="4" borderId="232" xfId="0" applyFont="1" applyFill="1" applyBorder="1" applyAlignment="1" applyProtection="1">
      <alignment horizontal="right" vertical="top"/>
    </xf>
    <xf numFmtId="0" fontId="222" fillId="4" borderId="163" xfId="0" applyFont="1" applyFill="1" applyBorder="1" applyAlignment="1" applyProtection="1">
      <alignment horizontal="right" vertical="top"/>
    </xf>
    <xf numFmtId="0" fontId="223" fillId="4" borderId="163" xfId="0" applyFont="1" applyFill="1" applyBorder="1" applyProtection="1"/>
    <xf numFmtId="9" fontId="159" fillId="6" borderId="130" xfId="6" quotePrefix="1" applyNumberFormat="1" applyFont="1" applyFill="1" applyBorder="1" applyAlignment="1" applyProtection="1">
      <alignment horizontal="center" vertical="center"/>
    </xf>
    <xf numFmtId="0" fontId="146" fillId="4" borderId="0" xfId="4" applyFont="1" applyFill="1" applyBorder="1" applyAlignment="1" applyProtection="1">
      <alignment vertical="center" wrapText="1"/>
    </xf>
    <xf numFmtId="0" fontId="143" fillId="4" borderId="61" xfId="0" applyFont="1" applyFill="1" applyBorder="1" applyAlignment="1" applyProtection="1">
      <alignment horizontal="center" vertical="center"/>
      <protection locked="0"/>
    </xf>
    <xf numFmtId="3" fontId="143" fillId="4" borderId="81" xfId="0" applyNumberFormat="1" applyFont="1" applyFill="1" applyBorder="1" applyAlignment="1" applyProtection="1">
      <alignment horizontal="center" vertical="center"/>
      <protection locked="0"/>
    </xf>
    <xf numFmtId="1" fontId="143" fillId="4" borderId="81" xfId="0" applyNumberFormat="1" applyFont="1" applyFill="1" applyBorder="1" applyAlignment="1" applyProtection="1">
      <alignment horizontal="center" vertical="center"/>
      <protection locked="0"/>
    </xf>
    <xf numFmtId="0" fontId="143" fillId="4" borderId="52" xfId="0" applyFont="1" applyFill="1" applyBorder="1" applyAlignment="1" applyProtection="1">
      <alignment horizontal="center" vertical="center"/>
      <protection locked="0"/>
    </xf>
    <xf numFmtId="3" fontId="143" fillId="4" borderId="52" xfId="0" applyNumberFormat="1" applyFont="1" applyFill="1" applyBorder="1" applyAlignment="1" applyProtection="1">
      <alignment horizontal="center" vertical="center"/>
      <protection locked="0"/>
    </xf>
    <xf numFmtId="1" fontId="143" fillId="4" borderId="52" xfId="0" applyNumberFormat="1" applyFont="1" applyFill="1" applyBorder="1" applyAlignment="1" applyProtection="1">
      <alignment horizontal="center" vertical="center"/>
      <protection locked="0"/>
    </xf>
    <xf numFmtId="3" fontId="143" fillId="4" borderId="41" xfId="0" applyNumberFormat="1" applyFont="1" applyFill="1" applyBorder="1" applyAlignment="1" applyProtection="1">
      <alignment horizontal="center" vertical="center"/>
      <protection locked="0"/>
    </xf>
    <xf numFmtId="0" fontId="163" fillId="4" borderId="0" xfId="0" applyFont="1" applyFill="1" applyBorder="1" applyAlignment="1" applyProtection="1">
      <alignment vertical="top" wrapText="1"/>
    </xf>
    <xf numFmtId="3" fontId="145" fillId="4" borderId="0" xfId="0" quotePrefix="1" applyNumberFormat="1" applyFont="1" applyFill="1" applyBorder="1" applyAlignment="1" applyProtection="1">
      <alignment horizontal="center" vertical="center"/>
    </xf>
    <xf numFmtId="3" fontId="145" fillId="31" borderId="82" xfId="0" applyNumberFormat="1" applyFont="1" applyFill="1" applyBorder="1" applyAlignment="1" applyProtection="1">
      <alignment horizontal="center" vertical="center"/>
    </xf>
    <xf numFmtId="3" fontId="193" fillId="31" borderId="2" xfId="0" applyNumberFormat="1" applyFont="1" applyFill="1" applyBorder="1" applyAlignment="1" applyProtection="1">
      <alignment horizontal="center" vertical="center"/>
    </xf>
    <xf numFmtId="4" fontId="193" fillId="31" borderId="82" xfId="0" applyNumberFormat="1" applyFont="1" applyFill="1" applyBorder="1" applyAlignment="1" applyProtection="1">
      <alignment horizontal="center" vertical="center"/>
    </xf>
    <xf numFmtId="4" fontId="194" fillId="4" borderId="79" xfId="0" applyNumberFormat="1" applyFont="1" applyFill="1" applyBorder="1" applyAlignment="1" applyProtection="1">
      <alignment horizontal="center" vertical="center"/>
    </xf>
    <xf numFmtId="3" fontId="193" fillId="4" borderId="83" xfId="0" applyNumberFormat="1" applyFont="1" applyFill="1" applyBorder="1" applyAlignment="1" applyProtection="1">
      <alignment horizontal="center" vertical="center"/>
    </xf>
    <xf numFmtId="3" fontId="193" fillId="31" borderId="1" xfId="0" applyNumberFormat="1" applyFont="1" applyFill="1" applyBorder="1" applyAlignment="1" applyProtection="1">
      <alignment horizontal="center" vertical="center"/>
    </xf>
    <xf numFmtId="1" fontId="145" fillId="11" borderId="1" xfId="0" applyNumberFormat="1" applyFont="1" applyFill="1" applyBorder="1" applyAlignment="1" applyProtection="1">
      <alignment horizontal="center" vertical="center"/>
    </xf>
    <xf numFmtId="3" fontId="193" fillId="4" borderId="84" xfId="0" applyNumberFormat="1" applyFont="1" applyFill="1" applyBorder="1" applyAlignment="1" applyProtection="1">
      <alignment horizontal="center" vertical="center"/>
    </xf>
    <xf numFmtId="9" fontId="138" fillId="4" borderId="0" xfId="6" applyFont="1" applyFill="1" applyBorder="1" applyAlignment="1" applyProtection="1">
      <alignment horizontal="center" vertical="center"/>
    </xf>
    <xf numFmtId="10" fontId="143" fillId="4" borderId="0" xfId="0" applyNumberFormat="1" applyFont="1" applyFill="1" applyAlignment="1" applyProtection="1">
      <alignment horizontal="center" vertical="center"/>
    </xf>
    <xf numFmtId="0" fontId="212" fillId="4" borderId="0" xfId="0" applyFont="1" applyFill="1" applyProtection="1"/>
    <xf numFmtId="3" fontId="159" fillId="32" borderId="2" xfId="0" applyNumberFormat="1" applyFont="1" applyFill="1" applyBorder="1" applyAlignment="1" applyProtection="1">
      <alignment horizontal="center" vertical="center"/>
      <protection locked="0"/>
    </xf>
    <xf numFmtId="3" fontId="159" fillId="32" borderId="3" xfId="0" applyNumberFormat="1" applyFont="1" applyFill="1" applyBorder="1" applyAlignment="1" applyProtection="1">
      <alignment horizontal="center" vertical="center" wrapText="1"/>
      <protection locked="0"/>
    </xf>
    <xf numFmtId="3" fontId="159" fillId="32" borderId="3" xfId="0" applyNumberFormat="1" applyFont="1" applyFill="1" applyBorder="1" applyAlignment="1" applyProtection="1">
      <alignment horizontal="center" vertical="top" wrapText="1"/>
      <protection locked="0"/>
    </xf>
    <xf numFmtId="3" fontId="224" fillId="4" borderId="234" xfId="0" applyNumberFormat="1" applyFont="1" applyFill="1" applyBorder="1" applyAlignment="1" applyProtection="1">
      <alignment vertical="top"/>
      <protection locked="0"/>
    </xf>
    <xf numFmtId="3" fontId="224" fillId="4" borderId="235" xfId="0" applyNumberFormat="1" applyFont="1" applyFill="1" applyBorder="1" applyAlignment="1" applyProtection="1">
      <alignment vertical="top"/>
      <protection locked="0"/>
    </xf>
    <xf numFmtId="3" fontId="224" fillId="4" borderId="236" xfId="0" applyNumberFormat="1" applyFont="1" applyFill="1" applyBorder="1" applyAlignment="1" applyProtection="1">
      <alignment vertical="top"/>
      <protection locked="0"/>
    </xf>
    <xf numFmtId="3" fontId="159" fillId="32" borderId="3" xfId="0" applyNumberFormat="1" applyFont="1" applyFill="1" applyBorder="1" applyAlignment="1" applyProtection="1">
      <alignment horizontal="center" vertical="center"/>
      <protection locked="0"/>
    </xf>
    <xf numFmtId="3" fontId="224" fillId="4" borderId="0" xfId="0" applyNumberFormat="1" applyFont="1" applyFill="1" applyBorder="1" applyAlignment="1" applyProtection="1">
      <alignment vertical="top"/>
      <protection locked="0"/>
    </xf>
    <xf numFmtId="3" fontId="224" fillId="4" borderId="49" xfId="0" applyNumberFormat="1" applyFont="1" applyFill="1" applyBorder="1" applyAlignment="1" applyProtection="1">
      <alignment vertical="top"/>
      <protection locked="0"/>
    </xf>
    <xf numFmtId="3" fontId="159" fillId="32" borderId="77" xfId="0" applyNumberFormat="1" applyFont="1" applyFill="1" applyBorder="1" applyAlignment="1" applyProtection="1">
      <alignment horizontal="center" vertical="center"/>
      <protection locked="0"/>
    </xf>
    <xf numFmtId="3" fontId="159" fillId="32" borderId="4" xfId="0" applyNumberFormat="1" applyFont="1" applyFill="1" applyBorder="1" applyAlignment="1" applyProtection="1">
      <alignment horizontal="center" vertical="center"/>
      <protection locked="0"/>
    </xf>
    <xf numFmtId="3" fontId="159" fillId="37" borderId="4" xfId="0" applyNumberFormat="1" applyFont="1" applyFill="1" applyBorder="1" applyAlignment="1" applyProtection="1">
      <alignment horizontal="center" vertical="center"/>
    </xf>
    <xf numFmtId="3" fontId="159" fillId="37" borderId="237" xfId="0" applyNumberFormat="1" applyFont="1" applyFill="1" applyBorder="1" applyAlignment="1" applyProtection="1">
      <alignment horizontal="center" vertical="center"/>
    </xf>
    <xf numFmtId="3" fontId="22" fillId="32" borderId="77" xfId="0" applyNumberFormat="1" applyFont="1" applyFill="1" applyBorder="1" applyAlignment="1" applyProtection="1">
      <alignment horizontal="center" vertical="center"/>
      <protection locked="0"/>
    </xf>
    <xf numFmtId="3" fontId="143" fillId="4" borderId="0" xfId="0" applyNumberFormat="1" applyFont="1" applyFill="1" applyAlignment="1" applyProtection="1">
      <alignment horizontal="center"/>
    </xf>
    <xf numFmtId="10" fontId="145" fillId="24" borderId="218" xfId="6" applyNumberFormat="1" applyFont="1" applyFill="1" applyBorder="1" applyAlignment="1" applyProtection="1">
      <alignment horizontal="right" vertical="center"/>
    </xf>
    <xf numFmtId="9" fontId="211" fillId="24" borderId="218" xfId="6" applyFont="1" applyFill="1" applyBorder="1" applyAlignment="1" applyProtection="1">
      <alignment horizontal="right" vertical="center"/>
    </xf>
    <xf numFmtId="2" fontId="145" fillId="26" borderId="213" xfId="0" applyNumberFormat="1" applyFont="1" applyFill="1" applyBorder="1" applyAlignment="1" applyProtection="1">
      <alignment horizontal="right" vertical="center"/>
    </xf>
    <xf numFmtId="0" fontId="156" fillId="26" borderId="213" xfId="0" applyFont="1" applyFill="1" applyBorder="1" applyAlignment="1" applyProtection="1">
      <alignment vertical="center"/>
    </xf>
    <xf numFmtId="2" fontId="145" fillId="26" borderId="220" xfId="0" applyNumberFormat="1" applyFont="1" applyFill="1" applyBorder="1" applyAlignment="1" applyProtection="1">
      <alignment horizontal="right" vertical="center"/>
    </xf>
    <xf numFmtId="0" fontId="156" fillId="26" borderId="212" xfId="0" applyFont="1" applyFill="1" applyBorder="1" applyAlignment="1" applyProtection="1">
      <alignment vertical="center"/>
    </xf>
    <xf numFmtId="9" fontId="145" fillId="8" borderId="213" xfId="6" applyFont="1" applyFill="1" applyBorder="1" applyAlignment="1" applyProtection="1">
      <alignment horizontal="center" vertical="center"/>
    </xf>
    <xf numFmtId="9" fontId="225" fillId="8" borderId="212" xfId="6" applyNumberFormat="1" applyFont="1" applyFill="1" applyBorder="1" applyAlignment="1" applyProtection="1">
      <alignment vertical="center"/>
    </xf>
    <xf numFmtId="9" fontId="145" fillId="8" borderId="220" xfId="6" applyFont="1" applyFill="1" applyBorder="1" applyAlignment="1" applyProtection="1">
      <alignment horizontal="center" vertical="center"/>
    </xf>
    <xf numFmtId="9" fontId="225" fillId="8" borderId="212" xfId="6" applyFont="1" applyFill="1" applyBorder="1" applyAlignment="1" applyProtection="1">
      <alignment vertical="center"/>
    </xf>
    <xf numFmtId="9" fontId="225" fillId="8" borderId="213" xfId="6" applyFont="1" applyFill="1" applyBorder="1" applyAlignment="1" applyProtection="1">
      <alignment vertical="center"/>
    </xf>
    <xf numFmtId="2" fontId="145" fillId="8" borderId="128" xfId="0" applyNumberFormat="1" applyFont="1" applyFill="1" applyBorder="1" applyAlignment="1" applyProtection="1">
      <alignment horizontal="right" vertical="center"/>
    </xf>
    <xf numFmtId="9" fontId="145" fillId="8" borderId="218" xfId="6" applyFont="1" applyFill="1" applyBorder="1" applyAlignment="1" applyProtection="1">
      <alignment horizontal="center" vertical="center"/>
    </xf>
    <xf numFmtId="9" fontId="166" fillId="8" borderId="218" xfId="6" applyFont="1" applyFill="1" applyBorder="1" applyAlignment="1" applyProtection="1">
      <alignment vertical="center"/>
    </xf>
    <xf numFmtId="0" fontId="152" fillId="4" borderId="34" xfId="0" applyFont="1" applyFill="1" applyBorder="1" applyAlignment="1" applyProtection="1">
      <alignment horizontal="left" vertical="center"/>
    </xf>
    <xf numFmtId="0" fontId="13" fillId="13" borderId="3" xfId="4" applyFont="1" applyFill="1" applyBorder="1" applyProtection="1"/>
    <xf numFmtId="3" fontId="53" fillId="4" borderId="82" xfId="4" applyNumberFormat="1" applyFont="1" applyFill="1" applyBorder="1" applyAlignment="1" applyProtection="1">
      <alignment horizontal="center" vertical="center"/>
      <protection locked="0"/>
    </xf>
    <xf numFmtId="3" fontId="22" fillId="4" borderId="239" xfId="4" applyNumberFormat="1" applyFont="1" applyFill="1" applyBorder="1" applyAlignment="1" applyProtection="1">
      <alignment horizontal="center" vertical="center"/>
      <protection locked="0"/>
    </xf>
    <xf numFmtId="0" fontId="13" fillId="13" borderId="2" xfId="4" applyFont="1" applyFill="1" applyBorder="1" applyProtection="1"/>
    <xf numFmtId="1" fontId="22" fillId="4" borderId="0" xfId="0" applyNumberFormat="1" applyFont="1" applyFill="1" applyBorder="1" applyAlignment="1" applyProtection="1">
      <alignment horizontal="center" vertical="center"/>
    </xf>
    <xf numFmtId="3" fontId="48" fillId="15" borderId="20" xfId="4" applyNumberFormat="1" applyFont="1" applyFill="1" applyBorder="1" applyAlignment="1" applyProtection="1">
      <alignment horizontal="center" vertical="center"/>
    </xf>
    <xf numFmtId="0" fontId="13" fillId="4" borderId="19" xfId="4" applyFont="1" applyFill="1" applyBorder="1" applyAlignment="1" applyProtection="1">
      <alignment horizontal="center" vertical="center"/>
      <protection locked="0"/>
    </xf>
    <xf numFmtId="0" fontId="53" fillId="4" borderId="19" xfId="4" applyFont="1" applyFill="1" applyBorder="1" applyAlignment="1" applyProtection="1">
      <alignment horizontal="center" vertical="center"/>
      <protection locked="0"/>
    </xf>
    <xf numFmtId="3" fontId="15" fillId="4" borderId="45" xfId="0" applyNumberFormat="1" applyFont="1" applyFill="1" applyBorder="1" applyAlignment="1" applyProtection="1">
      <alignment horizontal="center" vertical="center"/>
    </xf>
    <xf numFmtId="0" fontId="138" fillId="19" borderId="31" xfId="0" applyFont="1" applyFill="1" applyBorder="1" applyAlignment="1" applyProtection="1">
      <alignment vertical="center"/>
    </xf>
    <xf numFmtId="0" fontId="148" fillId="19" borderId="32" xfId="0" applyFont="1" applyFill="1" applyBorder="1" applyAlignment="1" applyProtection="1">
      <alignment vertical="center"/>
    </xf>
    <xf numFmtId="0" fontId="143" fillId="19" borderId="32" xfId="0" applyFont="1" applyFill="1" applyBorder="1" applyAlignment="1" applyProtection="1">
      <alignment vertical="center"/>
    </xf>
    <xf numFmtId="0" fontId="204" fillId="4" borderId="34" xfId="0" applyFont="1" applyFill="1" applyBorder="1" applyAlignment="1" applyProtection="1">
      <alignment horizontal="left" vertical="center"/>
    </xf>
    <xf numFmtId="0" fontId="199" fillId="4" borderId="1" xfId="0" applyFont="1" applyFill="1" applyBorder="1" applyAlignment="1" applyProtection="1">
      <alignment vertical="center"/>
    </xf>
    <xf numFmtId="10" fontId="159" fillId="5" borderId="130" xfId="0" applyNumberFormat="1" applyFont="1" applyFill="1" applyBorder="1" applyAlignment="1" applyProtection="1">
      <alignment horizontal="center" vertical="center"/>
    </xf>
    <xf numFmtId="10" fontId="159" fillId="5" borderId="240" xfId="0" applyNumberFormat="1" applyFont="1" applyFill="1" applyBorder="1" applyAlignment="1" applyProtection="1">
      <alignment horizontal="center" vertical="center"/>
    </xf>
    <xf numFmtId="3" fontId="48" fillId="15" borderId="19" xfId="4" applyNumberFormat="1" applyFont="1" applyFill="1" applyBorder="1" applyAlignment="1" applyProtection="1">
      <alignment horizontal="center" vertical="center"/>
    </xf>
    <xf numFmtId="3" fontId="48" fillId="16" borderId="3" xfId="4" applyNumberFormat="1" applyFont="1" applyFill="1" applyBorder="1" applyAlignment="1" applyProtection="1">
      <alignment horizontal="center" vertical="center"/>
    </xf>
    <xf numFmtId="3" fontId="48" fillId="18" borderId="5" xfId="4" applyNumberFormat="1" applyFont="1" applyFill="1" applyBorder="1" applyAlignment="1" applyProtection="1">
      <alignment horizontal="center" vertical="center"/>
    </xf>
    <xf numFmtId="3" fontId="53" fillId="4" borderId="20" xfId="4" applyNumberFormat="1" applyFont="1" applyFill="1" applyBorder="1" applyAlignment="1" applyProtection="1">
      <alignment horizontal="center" vertical="center"/>
      <protection locked="0"/>
    </xf>
    <xf numFmtId="0" fontId="13" fillId="4" borderId="3" xfId="4" applyFont="1" applyFill="1" applyBorder="1" applyAlignment="1" applyProtection="1">
      <alignment horizontal="center" vertical="center"/>
      <protection locked="0"/>
    </xf>
    <xf numFmtId="3" fontId="13" fillId="4" borderId="19" xfId="4" applyNumberFormat="1" applyFont="1" applyFill="1" applyBorder="1" applyAlignment="1" applyProtection="1">
      <alignment horizontal="center" vertical="center"/>
      <protection locked="0"/>
    </xf>
    <xf numFmtId="0" fontId="53" fillId="4" borderId="3" xfId="4" applyFont="1" applyFill="1" applyBorder="1" applyAlignment="1" applyProtection="1">
      <alignment horizontal="center" vertical="center"/>
      <protection locked="0"/>
    </xf>
    <xf numFmtId="3" fontId="13" fillId="4" borderId="26" xfId="4" applyNumberFormat="1" applyFont="1" applyFill="1" applyBorder="1" applyAlignment="1" applyProtection="1">
      <alignment horizontal="center" vertical="center"/>
      <protection locked="0"/>
    </xf>
    <xf numFmtId="0" fontId="82" fillId="4" borderId="1" xfId="4" applyFont="1" applyFill="1" applyBorder="1" applyAlignment="1" applyProtection="1">
      <alignment horizontal="center" vertical="center"/>
    </xf>
    <xf numFmtId="0" fontId="13" fillId="13" borderId="3" xfId="4" applyFont="1" applyFill="1" applyBorder="1" applyAlignment="1" applyProtection="1">
      <alignment horizontal="center" vertical="center"/>
    </xf>
    <xf numFmtId="3" fontId="13" fillId="13" borderId="3" xfId="4" applyNumberFormat="1" applyFont="1" applyFill="1" applyBorder="1" applyAlignment="1" applyProtection="1">
      <alignment horizontal="center" vertical="center"/>
    </xf>
    <xf numFmtId="0" fontId="53" fillId="13" borderId="3" xfId="4" applyFont="1" applyFill="1" applyBorder="1" applyAlignment="1" applyProtection="1">
      <alignment horizontal="center" vertical="center"/>
    </xf>
    <xf numFmtId="0" fontId="53" fillId="4" borderId="49" xfId="4" applyFont="1" applyFill="1" applyBorder="1" applyAlignment="1" applyProtection="1">
      <alignment horizontal="center" vertical="center"/>
      <protection locked="0"/>
    </xf>
    <xf numFmtId="0" fontId="82" fillId="4" borderId="3" xfId="4" applyFont="1" applyFill="1" applyBorder="1" applyAlignment="1" applyProtection="1">
      <alignment horizontal="center" vertical="center"/>
    </xf>
    <xf numFmtId="3" fontId="53" fillId="13" borderId="2" xfId="4" applyNumberFormat="1" applyFont="1" applyFill="1" applyBorder="1" applyAlignment="1" applyProtection="1">
      <alignment horizontal="center" vertical="center"/>
    </xf>
    <xf numFmtId="3" fontId="13" fillId="4" borderId="3" xfId="4" applyNumberFormat="1" applyFont="1" applyFill="1" applyBorder="1" applyAlignment="1" applyProtection="1">
      <alignment horizontal="center" vertical="center"/>
      <protection locked="0"/>
    </xf>
    <xf numFmtId="3" fontId="13" fillId="4" borderId="239" xfId="4" applyNumberFormat="1" applyFont="1" applyFill="1" applyBorder="1" applyAlignment="1" applyProtection="1">
      <alignment horizontal="center" vertical="center"/>
      <protection locked="0"/>
    </xf>
    <xf numFmtId="0" fontId="76" fillId="4" borderId="19" xfId="4" applyFont="1" applyFill="1" applyBorder="1" applyAlignment="1" applyProtection="1">
      <alignment horizontal="center" vertical="center"/>
      <protection locked="0"/>
    </xf>
    <xf numFmtId="0" fontId="76" fillId="4" borderId="3" xfId="4" applyFont="1" applyFill="1" applyBorder="1" applyAlignment="1" applyProtection="1">
      <alignment horizontal="center" vertical="center"/>
      <protection locked="0"/>
    </xf>
    <xf numFmtId="0" fontId="13" fillId="4" borderId="242" xfId="4" applyFont="1" applyFill="1" applyBorder="1" applyAlignment="1" applyProtection="1">
      <alignment horizontal="center" vertical="center"/>
      <protection locked="0"/>
    </xf>
    <xf numFmtId="0" fontId="13" fillId="4" borderId="26" xfId="4" applyFont="1" applyFill="1" applyBorder="1" applyAlignment="1" applyProtection="1">
      <alignment horizontal="center" vertical="center"/>
      <protection locked="0"/>
    </xf>
    <xf numFmtId="0" fontId="76" fillId="4" borderId="25" xfId="4" applyFont="1" applyFill="1" applyBorder="1" applyAlignment="1" applyProtection="1">
      <alignment horizontal="center" vertical="center"/>
      <protection locked="0"/>
    </xf>
    <xf numFmtId="0" fontId="13" fillId="4" borderId="25" xfId="4" applyFont="1" applyFill="1" applyBorder="1" applyAlignment="1" applyProtection="1">
      <alignment horizontal="center" vertical="center"/>
      <protection locked="0"/>
    </xf>
    <xf numFmtId="3" fontId="143" fillId="4" borderId="61" xfId="0" applyNumberFormat="1" applyFont="1" applyFill="1" applyBorder="1" applyAlignment="1" applyProtection="1">
      <alignment horizontal="center" vertical="center"/>
      <protection locked="0"/>
    </xf>
    <xf numFmtId="1" fontId="143" fillId="4" borderId="61" xfId="0" applyNumberFormat="1" applyFont="1" applyFill="1" applyBorder="1" applyAlignment="1" applyProtection="1">
      <alignment horizontal="center" vertical="center"/>
      <protection locked="0"/>
    </xf>
    <xf numFmtId="168" fontId="143" fillId="4" borderId="39" xfId="0" applyNumberFormat="1" applyFont="1" applyFill="1" applyBorder="1" applyAlignment="1" applyProtection="1">
      <alignment horizontal="center" vertical="center"/>
      <protection locked="0"/>
    </xf>
    <xf numFmtId="168" fontId="143" fillId="4" borderId="40" xfId="0" applyNumberFormat="1" applyFont="1" applyFill="1" applyBorder="1" applyAlignment="1" applyProtection="1">
      <alignment horizontal="center" vertical="center"/>
      <protection locked="0"/>
    </xf>
    <xf numFmtId="168" fontId="53" fillId="4" borderId="40" xfId="0" applyNumberFormat="1" applyFont="1" applyFill="1" applyBorder="1" applyAlignment="1" applyProtection="1">
      <alignment horizontal="center" vertical="center"/>
      <protection locked="0"/>
    </xf>
    <xf numFmtId="168" fontId="53" fillId="4" borderId="61" xfId="0" applyNumberFormat="1" applyFont="1" applyFill="1" applyBorder="1" applyAlignment="1" applyProtection="1">
      <alignment horizontal="center" vertical="center"/>
      <protection locked="0"/>
    </xf>
    <xf numFmtId="168" fontId="53" fillId="4" borderId="52" xfId="0" applyNumberFormat="1" applyFont="1" applyFill="1" applyBorder="1" applyAlignment="1" applyProtection="1">
      <alignment horizontal="center" vertical="center"/>
      <protection locked="0"/>
    </xf>
    <xf numFmtId="168" fontId="53" fillId="4" borderId="41" xfId="0" applyNumberFormat="1" applyFont="1" applyFill="1" applyBorder="1" applyAlignment="1" applyProtection="1">
      <alignment horizontal="center" vertical="center"/>
      <protection locked="0"/>
    </xf>
    <xf numFmtId="168" fontId="143" fillId="4" borderId="38" xfId="0" applyNumberFormat="1" applyFont="1" applyFill="1" applyBorder="1" applyAlignment="1" applyProtection="1">
      <alignment horizontal="center" vertical="center"/>
      <protection locked="0"/>
    </xf>
    <xf numFmtId="168" fontId="143" fillId="4" borderId="52" xfId="0" applyNumberFormat="1" applyFont="1" applyFill="1" applyBorder="1" applyAlignment="1" applyProtection="1">
      <alignment horizontal="center" vertical="center"/>
      <protection locked="0"/>
    </xf>
    <xf numFmtId="168" fontId="138" fillId="4" borderId="40" xfId="0" applyNumberFormat="1" applyFont="1" applyFill="1" applyBorder="1" applyAlignment="1" applyProtection="1">
      <alignment horizontal="center" vertical="center"/>
      <protection locked="0"/>
    </xf>
    <xf numFmtId="168" fontId="138" fillId="4" borderId="81" xfId="0" applyNumberFormat="1" applyFont="1" applyFill="1" applyBorder="1" applyAlignment="1" applyProtection="1">
      <alignment horizontal="center" vertical="center"/>
      <protection locked="0"/>
    </xf>
    <xf numFmtId="168" fontId="138" fillId="4" borderId="52" xfId="0" applyNumberFormat="1" applyFont="1" applyFill="1" applyBorder="1" applyAlignment="1" applyProtection="1">
      <alignment horizontal="center" vertical="center"/>
      <protection locked="0"/>
    </xf>
    <xf numFmtId="168" fontId="138" fillId="4" borderId="61" xfId="0" applyNumberFormat="1" applyFont="1" applyFill="1" applyBorder="1" applyAlignment="1" applyProtection="1">
      <alignment horizontal="center" vertical="center"/>
      <protection locked="0"/>
    </xf>
    <xf numFmtId="0" fontId="15" fillId="4" borderId="5" xfId="5" applyFont="1" applyFill="1" applyBorder="1" applyProtection="1"/>
    <xf numFmtId="0" fontId="1" fillId="4" borderId="86" xfId="5" applyFill="1" applyBorder="1" applyProtection="1"/>
    <xf numFmtId="3" fontId="15" fillId="4" borderId="4" xfId="5" applyNumberFormat="1" applyFont="1" applyFill="1" applyBorder="1" applyAlignment="1" applyProtection="1">
      <alignment horizontal="center" vertical="center"/>
      <protection locked="0"/>
    </xf>
    <xf numFmtId="3" fontId="15" fillId="4" borderId="85" xfId="5" applyNumberFormat="1" applyFont="1" applyFill="1" applyBorder="1" applyAlignment="1" applyProtection="1">
      <alignment horizontal="center" vertical="center"/>
      <protection locked="0"/>
    </xf>
    <xf numFmtId="3" fontId="15" fillId="4" borderId="87" xfId="5" applyNumberFormat="1" applyFont="1" applyFill="1" applyBorder="1" applyAlignment="1" applyProtection="1">
      <alignment horizontal="center" vertical="center"/>
      <protection locked="0"/>
    </xf>
    <xf numFmtId="0" fontId="1" fillId="4" borderId="88" xfId="5" applyFill="1" applyBorder="1" applyProtection="1"/>
    <xf numFmtId="0" fontId="15" fillId="4" borderId="6" xfId="5" applyFont="1" applyFill="1" applyBorder="1" applyProtection="1"/>
    <xf numFmtId="0" fontId="69" fillId="4" borderId="181" xfId="0" applyFont="1" applyFill="1" applyBorder="1" applyAlignment="1" applyProtection="1">
      <alignment horizontal="right" vertical="top"/>
    </xf>
    <xf numFmtId="0" fontId="204" fillId="4" borderId="35" xfId="0" applyFont="1" applyFill="1" applyBorder="1" applyAlignment="1" applyProtection="1">
      <alignment vertical="center" wrapText="1"/>
    </xf>
    <xf numFmtId="0" fontId="204" fillId="4" borderId="36" xfId="0" applyFont="1" applyFill="1" applyBorder="1" applyAlignment="1" applyProtection="1">
      <alignment vertical="center" wrapText="1"/>
    </xf>
    <xf numFmtId="1" fontId="48" fillId="26" borderId="1" xfId="4" applyNumberFormat="1" applyFont="1" applyFill="1" applyBorder="1" applyAlignment="1" applyProtection="1">
      <alignment horizontal="center" vertical="center"/>
    </xf>
    <xf numFmtId="3" fontId="15" fillId="34" borderId="3" xfId="4" applyNumberFormat="1" applyFont="1" applyFill="1" applyBorder="1" applyAlignment="1" applyProtection="1">
      <alignment horizontal="center"/>
    </xf>
    <xf numFmtId="3" fontId="15" fillId="34" borderId="3" xfId="4" applyNumberFormat="1" applyFont="1" applyFill="1" applyBorder="1" applyAlignment="1" applyProtection="1">
      <alignment horizontal="center" vertical="center"/>
    </xf>
    <xf numFmtId="3" fontId="53" fillId="26" borderId="25" xfId="4" applyNumberFormat="1" applyFont="1" applyFill="1" applyBorder="1" applyAlignment="1" applyProtection="1">
      <alignment horizontal="center" vertical="center"/>
      <protection locked="0"/>
    </xf>
    <xf numFmtId="0" fontId="13" fillId="34" borderId="2" xfId="4" applyFont="1" applyFill="1" applyBorder="1" applyProtection="1"/>
    <xf numFmtId="0" fontId="13" fillId="34" borderId="3" xfId="4" applyFont="1" applyFill="1" applyBorder="1" applyProtection="1"/>
    <xf numFmtId="3" fontId="13" fillId="26" borderId="25" xfId="4" applyNumberFormat="1" applyFont="1" applyFill="1" applyBorder="1" applyAlignment="1" applyProtection="1">
      <alignment horizontal="center" vertical="center"/>
      <protection locked="0"/>
    </xf>
    <xf numFmtId="0" fontId="219" fillId="4" borderId="0" xfId="0" applyFont="1" applyFill="1" applyAlignment="1" applyProtection="1">
      <alignment horizontal="left" vertical="top" wrapText="1"/>
    </xf>
    <xf numFmtId="0" fontId="138" fillId="4" borderId="0" xfId="0" applyFont="1" applyFill="1" applyBorder="1" applyAlignment="1" applyProtection="1">
      <alignment horizontal="left" vertical="center"/>
    </xf>
    <xf numFmtId="5" fontId="159" fillId="29" borderId="130" xfId="0" applyNumberFormat="1" applyFont="1" applyFill="1" applyBorder="1" applyAlignment="1" applyProtection="1">
      <alignment horizontal="center" vertical="center"/>
    </xf>
    <xf numFmtId="0" fontId="226" fillId="4" borderId="34" xfId="0" applyFont="1" applyFill="1" applyBorder="1" applyAlignment="1" applyProtection="1">
      <alignment horizontal="left" vertical="center"/>
    </xf>
    <xf numFmtId="0" fontId="226" fillId="4" borderId="0" xfId="0" applyFont="1" applyFill="1" applyBorder="1" applyAlignment="1" applyProtection="1">
      <alignment horizontal="left" vertical="center"/>
    </xf>
    <xf numFmtId="0" fontId="209" fillId="4" borderId="34" xfId="0" applyFont="1" applyFill="1" applyBorder="1" applyAlignment="1" applyProtection="1">
      <alignment horizontal="left" vertical="center"/>
    </xf>
    <xf numFmtId="0" fontId="227" fillId="4" borderId="0" xfId="0" applyFont="1" applyFill="1" applyBorder="1" applyAlignment="1" applyProtection="1">
      <alignment horizontal="left" vertical="center"/>
    </xf>
    <xf numFmtId="0" fontId="227" fillId="4" borderId="0" xfId="0" applyFont="1" applyFill="1" applyAlignment="1" applyProtection="1">
      <alignment horizontal="left" vertical="center"/>
    </xf>
    <xf numFmtId="0" fontId="228" fillId="4" borderId="0" xfId="0" applyFont="1" applyFill="1" applyAlignment="1" applyProtection="1">
      <alignment horizontal="center" vertical="center"/>
    </xf>
    <xf numFmtId="0" fontId="228" fillId="4" borderId="0" xfId="0" applyFont="1" applyFill="1" applyBorder="1" applyAlignment="1" applyProtection="1">
      <alignment horizontal="center" vertical="center"/>
    </xf>
    <xf numFmtId="0" fontId="156" fillId="4" borderId="0" xfId="0" applyFont="1" applyFill="1" applyBorder="1" applyAlignment="1" applyProtection="1">
      <alignment horizontal="left" vertical="top" wrapText="1"/>
    </xf>
    <xf numFmtId="0" fontId="156" fillId="4" borderId="0" xfId="0" applyFont="1" applyFill="1" applyBorder="1" applyAlignment="1" applyProtection="1">
      <alignment horizontal="left" vertical="center"/>
    </xf>
    <xf numFmtId="0" fontId="138" fillId="4" borderId="0" xfId="0" applyFont="1" applyFill="1" applyBorder="1" applyAlignment="1" applyProtection="1">
      <alignment horizontal="left" vertical="top" wrapText="1"/>
    </xf>
    <xf numFmtId="0" fontId="138" fillId="4" borderId="167" xfId="0" applyFont="1" applyFill="1" applyBorder="1" applyAlignment="1" applyProtection="1">
      <alignment horizontal="left" vertical="top" wrapText="1"/>
    </xf>
    <xf numFmtId="0" fontId="21" fillId="4" borderId="0" xfId="0" applyFont="1" applyFill="1" applyBorder="1" applyAlignment="1" applyProtection="1">
      <alignment horizontal="left" vertical="top" wrapText="1"/>
    </xf>
    <xf numFmtId="0" fontId="21" fillId="4" borderId="228" xfId="0" applyFont="1" applyFill="1" applyBorder="1" applyAlignment="1" applyProtection="1">
      <alignment horizontal="left" vertical="top" wrapText="1"/>
    </xf>
    <xf numFmtId="0" fontId="138" fillId="4" borderId="228" xfId="0" applyFont="1" applyFill="1" applyBorder="1" applyAlignment="1" applyProtection="1">
      <alignment horizontal="left" vertical="top" wrapText="1"/>
    </xf>
    <xf numFmtId="0" fontId="157" fillId="4" borderId="0" xfId="0" applyFont="1" applyFill="1" applyBorder="1" applyAlignment="1" applyProtection="1">
      <alignment horizontal="center" vertical="top"/>
    </xf>
    <xf numFmtId="0" fontId="156" fillId="4" borderId="174" xfId="0" applyFont="1" applyFill="1" applyBorder="1" applyAlignment="1" applyProtection="1">
      <alignment horizontal="left" vertical="top" wrapText="1"/>
    </xf>
    <xf numFmtId="0" fontId="185" fillId="4" borderId="173" xfId="0" applyFont="1" applyFill="1" applyBorder="1" applyAlignment="1" applyProtection="1">
      <alignment horizontal="right" vertical="center"/>
    </xf>
    <xf numFmtId="0" fontId="179" fillId="4" borderId="208" xfId="0" applyFont="1" applyFill="1" applyBorder="1" applyAlignment="1" applyProtection="1">
      <alignment horizontal="right" vertical="center"/>
    </xf>
    <xf numFmtId="0" fontId="138" fillId="4" borderId="142" xfId="0" applyFont="1" applyFill="1" applyBorder="1" applyAlignment="1" applyProtection="1">
      <alignment horizontal="left" vertical="top" wrapText="1"/>
    </xf>
    <xf numFmtId="0" fontId="179" fillId="4" borderId="151" xfId="0" applyFont="1" applyFill="1" applyBorder="1" applyAlignment="1" applyProtection="1">
      <alignment horizontal="right" vertical="center"/>
    </xf>
    <xf numFmtId="0" fontId="156" fillId="4" borderId="0" xfId="0" applyFont="1" applyFill="1" applyBorder="1" applyAlignment="1" applyProtection="1">
      <alignment horizontal="center" vertical="center"/>
    </xf>
    <xf numFmtId="0" fontId="138" fillId="4" borderId="152" xfId="0" applyFont="1" applyFill="1" applyBorder="1" applyAlignment="1" applyProtection="1">
      <alignment horizontal="left" vertical="top" wrapText="1"/>
    </xf>
    <xf numFmtId="0" fontId="181" fillId="4" borderId="0" xfId="0" applyFont="1" applyFill="1" applyBorder="1" applyAlignment="1" applyProtection="1">
      <alignment horizontal="left" vertical="top" wrapText="1"/>
    </xf>
    <xf numFmtId="0" fontId="156" fillId="4" borderId="142" xfId="0" applyFont="1" applyFill="1" applyBorder="1" applyAlignment="1" applyProtection="1">
      <alignment horizontal="left" vertical="top" wrapText="1"/>
    </xf>
    <xf numFmtId="0" fontId="173" fillId="4" borderId="141" xfId="0" applyFont="1" applyFill="1" applyBorder="1" applyAlignment="1" applyProtection="1">
      <alignment horizontal="center" vertical="top" wrapText="1"/>
    </xf>
    <xf numFmtId="0" fontId="173" fillId="4" borderId="141" xfId="0" applyFont="1" applyFill="1" applyBorder="1" applyAlignment="1" applyProtection="1">
      <alignment horizontal="center" vertical="center" wrapText="1"/>
    </xf>
    <xf numFmtId="0" fontId="177" fillId="4" borderId="0" xfId="0" applyFont="1" applyFill="1" applyBorder="1" applyAlignment="1" applyProtection="1">
      <alignment horizontal="left" vertical="top" wrapText="1"/>
    </xf>
    <xf numFmtId="0" fontId="171" fillId="4" borderId="0" xfId="0" applyFont="1" applyFill="1" applyBorder="1" applyAlignment="1" applyProtection="1">
      <alignment horizontal="center" vertical="center" wrapText="1"/>
    </xf>
    <xf numFmtId="0" fontId="156" fillId="4" borderId="0" xfId="0" applyFont="1" applyFill="1" applyBorder="1" applyAlignment="1" applyProtection="1">
      <alignment horizontal="left" vertical="top"/>
    </xf>
    <xf numFmtId="0" fontId="158" fillId="4" borderId="0" xfId="0" applyFont="1" applyFill="1" applyBorder="1" applyAlignment="1" applyProtection="1">
      <alignment horizontal="left"/>
    </xf>
    <xf numFmtId="0" fontId="157" fillId="4" borderId="0" xfId="0" applyFont="1" applyFill="1" applyBorder="1" applyAlignment="1" applyProtection="1">
      <alignment horizontal="left" vertical="top"/>
    </xf>
    <xf numFmtId="0" fontId="158" fillId="4" borderId="0" xfId="0" applyFont="1" applyFill="1" applyBorder="1" applyAlignment="1" applyProtection="1">
      <alignment horizontal="left" vertical="center"/>
    </xf>
    <xf numFmtId="0" fontId="156" fillId="4" borderId="185" xfId="0" applyFont="1" applyFill="1" applyBorder="1" applyAlignment="1" applyProtection="1">
      <alignment horizontal="left" vertical="top"/>
    </xf>
    <xf numFmtId="0" fontId="171" fillId="4" borderId="0" xfId="0" applyFont="1" applyFill="1" applyBorder="1" applyAlignment="1" applyProtection="1">
      <alignment horizontal="center" vertical="center"/>
    </xf>
    <xf numFmtId="0" fontId="16" fillId="4" borderId="0" xfId="0" applyFont="1" applyFill="1" applyBorder="1" applyAlignment="1" applyProtection="1">
      <alignment horizontal="left" vertical="top" wrapText="1"/>
    </xf>
    <xf numFmtId="0" fontId="16" fillId="4" borderId="152" xfId="0" applyFont="1" applyFill="1" applyBorder="1" applyAlignment="1" applyProtection="1">
      <alignment horizontal="left" vertical="top" wrapText="1"/>
    </xf>
    <xf numFmtId="0" fontId="138" fillId="4" borderId="207" xfId="0" applyFont="1" applyFill="1" applyBorder="1" applyAlignment="1" applyProtection="1">
      <alignment horizontal="left" vertical="top" wrapText="1"/>
    </xf>
    <xf numFmtId="0" fontId="13" fillId="4" borderId="0" xfId="0" applyFont="1" applyFill="1" applyBorder="1" applyAlignment="1" applyProtection="1">
      <alignment horizontal="left" vertical="center" wrapText="1"/>
    </xf>
    <xf numFmtId="0" fontId="229" fillId="4" borderId="0" xfId="0" applyFont="1" applyFill="1" applyBorder="1" applyAlignment="1" applyProtection="1">
      <alignment horizontal="left" vertical="top" wrapText="1"/>
    </xf>
    <xf numFmtId="0" fontId="229" fillId="4" borderId="193" xfId="0" applyFont="1" applyFill="1" applyBorder="1" applyAlignment="1" applyProtection="1">
      <alignment horizontal="left" vertical="top" wrapText="1"/>
    </xf>
    <xf numFmtId="0" fontId="49" fillId="4" borderId="192"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192" xfId="0" applyFont="1" applyFill="1" applyBorder="1" applyAlignment="1" applyProtection="1">
      <alignment horizontal="left" vertical="top" wrapText="1"/>
    </xf>
    <xf numFmtId="0" fontId="13" fillId="4" borderId="0" xfId="0" applyFont="1" applyFill="1" applyBorder="1" applyAlignment="1" applyProtection="1">
      <alignment horizontal="left" vertical="top" wrapText="1"/>
    </xf>
    <xf numFmtId="0" fontId="13" fillId="4" borderId="193" xfId="0" applyFont="1" applyFill="1" applyBorder="1" applyAlignment="1" applyProtection="1">
      <alignment horizontal="left" vertical="top" wrapText="1"/>
    </xf>
    <xf numFmtId="0" fontId="145" fillId="4" borderId="0" xfId="0" applyFont="1" applyFill="1" applyBorder="1" applyAlignment="1" applyProtection="1">
      <alignment horizontal="center" vertical="center"/>
    </xf>
    <xf numFmtId="0" fontId="145" fillId="4" borderId="193" xfId="0" applyFont="1" applyFill="1" applyBorder="1" applyAlignment="1" applyProtection="1">
      <alignment horizontal="center" vertical="center"/>
    </xf>
    <xf numFmtId="0" fontId="145" fillId="4" borderId="192" xfId="0" applyFont="1" applyFill="1" applyBorder="1" applyAlignment="1" applyProtection="1">
      <alignment horizontal="left" vertical="top" wrapText="1"/>
    </xf>
    <xf numFmtId="0" fontId="145" fillId="4" borderId="0" xfId="0" applyFont="1" applyFill="1" applyBorder="1" applyAlignment="1" applyProtection="1">
      <alignment horizontal="left" vertical="top" wrapText="1"/>
    </xf>
    <xf numFmtId="0" fontId="145" fillId="4" borderId="193" xfId="0" applyFont="1" applyFill="1" applyBorder="1" applyAlignment="1" applyProtection="1">
      <alignment horizontal="left" vertical="top" wrapText="1"/>
    </xf>
    <xf numFmtId="0" fontId="171" fillId="4" borderId="0" xfId="0" applyFont="1" applyFill="1" applyBorder="1" applyAlignment="1" applyProtection="1">
      <alignment horizontal="center" vertical="top" wrapText="1"/>
    </xf>
    <xf numFmtId="0" fontId="13" fillId="4" borderId="152" xfId="0" applyFont="1" applyFill="1" applyBorder="1" applyAlignment="1" applyProtection="1">
      <alignment horizontal="left" vertical="center" wrapText="1"/>
    </xf>
    <xf numFmtId="0" fontId="155" fillId="4" borderId="141" xfId="0" applyFont="1" applyFill="1" applyBorder="1" applyAlignment="1" applyProtection="1">
      <alignment horizontal="right" vertical="center"/>
    </xf>
    <xf numFmtId="0" fontId="220" fillId="4" borderId="232" xfId="0" applyFont="1" applyFill="1" applyBorder="1" applyAlignment="1" applyProtection="1">
      <alignment horizontal="right" vertical="center"/>
    </xf>
    <xf numFmtId="0" fontId="138" fillId="4" borderId="0" xfId="0" applyFont="1" applyFill="1" applyBorder="1" applyAlignment="1" applyProtection="1">
      <alignment horizontal="left" vertical="top"/>
    </xf>
    <xf numFmtId="0" fontId="183" fillId="4" borderId="163" xfId="0" applyFont="1" applyFill="1" applyBorder="1" applyAlignment="1" applyProtection="1">
      <alignment horizontal="right" vertical="center"/>
    </xf>
    <xf numFmtId="0" fontId="157" fillId="4" borderId="49" xfId="0" applyFont="1" applyFill="1" applyBorder="1" applyAlignment="1" applyProtection="1">
      <alignment horizontal="center" vertical="center" wrapText="1"/>
    </xf>
    <xf numFmtId="0" fontId="143" fillId="4" borderId="0" xfId="0" applyFont="1" applyFill="1" applyBorder="1" applyAlignment="1" applyProtection="1">
      <alignment horizontal="center" vertical="center"/>
    </xf>
    <xf numFmtId="0" fontId="143" fillId="4" borderId="39" xfId="0" applyFont="1" applyFill="1" applyBorder="1" applyAlignment="1" applyProtection="1">
      <alignment horizontal="center" vertical="center"/>
      <protection locked="0"/>
    </xf>
    <xf numFmtId="0" fontId="19" fillId="4" borderId="198" xfId="0" applyFont="1" applyFill="1" applyBorder="1" applyAlignment="1" applyProtection="1">
      <alignment horizontal="center" vertical="center" wrapText="1"/>
    </xf>
    <xf numFmtId="0" fontId="150" fillId="4" borderId="0" xfId="0" applyFont="1" applyFill="1" applyAlignment="1" applyProtection="1">
      <alignment horizontal="right" vertical="center"/>
    </xf>
    <xf numFmtId="0" fontId="150" fillId="4" borderId="0" xfId="0" applyFont="1" applyFill="1" applyBorder="1" applyAlignment="1" applyProtection="1">
      <alignment horizontal="right" vertical="center"/>
    </xf>
    <xf numFmtId="0" fontId="150" fillId="4" borderId="0" xfId="0" applyFont="1" applyFill="1" applyBorder="1" applyAlignment="1" applyProtection="1">
      <alignment horizontal="center" vertical="center"/>
    </xf>
    <xf numFmtId="0" fontId="159" fillId="4" borderId="0" xfId="0" applyFont="1" applyFill="1" applyAlignment="1" applyProtection="1">
      <alignment horizontal="right" vertical="center"/>
    </xf>
    <xf numFmtId="1" fontId="138" fillId="4" borderId="5" xfId="0" applyNumberFormat="1" applyFont="1" applyFill="1" applyBorder="1" applyAlignment="1" applyProtection="1">
      <alignment horizontal="center" vertical="center"/>
    </xf>
    <xf numFmtId="1" fontId="138" fillId="4" borderId="86" xfId="0" applyNumberFormat="1" applyFont="1" applyFill="1" applyBorder="1" applyAlignment="1" applyProtection="1">
      <alignment horizontal="center" vertical="center"/>
    </xf>
    <xf numFmtId="0" fontId="15" fillId="4" borderId="0" xfId="0" applyFont="1" applyFill="1" applyBorder="1" applyAlignment="1" applyProtection="1">
      <alignment horizontal="center"/>
    </xf>
    <xf numFmtId="4" fontId="15" fillId="4" borderId="0" xfId="0" applyNumberFormat="1" applyFont="1" applyFill="1" applyBorder="1" applyAlignment="1" applyProtection="1">
      <alignment horizontal="center"/>
    </xf>
    <xf numFmtId="4" fontId="15" fillId="4" borderId="0" xfId="0" applyNumberFormat="1" applyFont="1" applyFill="1" applyBorder="1" applyAlignment="1" applyProtection="1">
      <alignment horizontal="center" vertical="center"/>
    </xf>
    <xf numFmtId="4" fontId="138" fillId="4" borderId="0" xfId="0" applyNumberFormat="1" applyFont="1" applyFill="1" applyBorder="1" applyProtection="1"/>
    <xf numFmtId="4" fontId="138" fillId="4" borderId="0" xfId="0" applyNumberFormat="1" applyFont="1" applyFill="1" applyProtection="1"/>
    <xf numFmtId="0" fontId="159" fillId="4" borderId="0" xfId="0" applyFont="1" applyFill="1" applyProtection="1"/>
    <xf numFmtId="0" fontId="142" fillId="4" borderId="1" xfId="0" applyFont="1" applyFill="1" applyBorder="1" applyAlignment="1" applyProtection="1">
      <alignment horizontal="center" vertical="center"/>
    </xf>
    <xf numFmtId="0" fontId="156" fillId="4" borderId="1" xfId="0" applyFont="1" applyFill="1" applyBorder="1" applyProtection="1"/>
    <xf numFmtId="0" fontId="142" fillId="4" borderId="1" xfId="0" applyFont="1" applyFill="1" applyBorder="1" applyProtection="1"/>
    <xf numFmtId="3" fontId="157" fillId="4" borderId="1" xfId="0" applyNumberFormat="1" applyFont="1" applyFill="1" applyBorder="1" applyProtection="1"/>
    <xf numFmtId="0" fontId="257" fillId="4" borderId="1" xfId="0" applyFont="1" applyFill="1" applyBorder="1" applyAlignment="1" applyProtection="1">
      <alignment horizontal="left" vertical="center"/>
    </xf>
    <xf numFmtId="0" fontId="138" fillId="4" borderId="1" xfId="0" applyFont="1" applyFill="1" applyBorder="1" applyAlignment="1" applyProtection="1">
      <alignment horizontal="center" vertical="center"/>
    </xf>
    <xf numFmtId="1" fontId="143" fillId="4" borderId="55" xfId="0" applyNumberFormat="1" applyFont="1" applyFill="1" applyBorder="1" applyAlignment="1" applyProtection="1">
      <alignment horizontal="center" vertical="center"/>
    </xf>
    <xf numFmtId="1" fontId="143" fillId="4" borderId="111" xfId="0" applyNumberFormat="1" applyFont="1" applyFill="1" applyBorder="1" applyAlignment="1" applyProtection="1">
      <alignment horizontal="center" vertical="center"/>
    </xf>
    <xf numFmtId="0" fontId="257" fillId="4" borderId="63" xfId="0" applyFont="1" applyFill="1" applyBorder="1" applyAlignment="1" applyProtection="1">
      <alignment horizontal="left" vertical="center"/>
    </xf>
    <xf numFmtId="0" fontId="257" fillId="4" borderId="63" xfId="0" quotePrefix="1" applyFont="1" applyFill="1" applyBorder="1" applyAlignment="1" applyProtection="1">
      <alignment horizontal="center" vertical="center"/>
    </xf>
    <xf numFmtId="0" fontId="257" fillId="4" borderId="0" xfId="0" applyFont="1" applyFill="1" applyAlignment="1" applyProtection="1">
      <alignment vertical="center"/>
    </xf>
    <xf numFmtId="0" fontId="143" fillId="4" borderId="0" xfId="0" quotePrefix="1" applyFont="1" applyFill="1" applyAlignment="1" applyProtection="1">
      <alignment horizontal="center" vertical="center"/>
    </xf>
    <xf numFmtId="1" fontId="143" fillId="4" borderId="112" xfId="0" applyNumberFormat="1" applyFont="1" applyFill="1" applyBorder="1" applyAlignment="1" applyProtection="1">
      <alignment horizontal="center" vertical="center"/>
    </xf>
    <xf numFmtId="1" fontId="143" fillId="4" borderId="56" xfId="0" applyNumberFormat="1" applyFont="1" applyFill="1" applyBorder="1" applyAlignment="1" applyProtection="1">
      <alignment horizontal="center" vertical="center"/>
    </xf>
    <xf numFmtId="1" fontId="143" fillId="4" borderId="80" xfId="0" applyNumberFormat="1" applyFont="1" applyFill="1" applyBorder="1" applyAlignment="1" applyProtection="1">
      <alignment horizontal="center" vertical="center"/>
    </xf>
    <xf numFmtId="1" fontId="143" fillId="4" borderId="58" xfId="0" applyNumberFormat="1" applyFont="1" applyFill="1" applyBorder="1" applyAlignment="1" applyProtection="1">
      <alignment horizontal="center" vertical="center"/>
    </xf>
    <xf numFmtId="4" fontId="143" fillId="4" borderId="2" xfId="0" applyNumberFormat="1" applyFont="1" applyFill="1" applyBorder="1" applyAlignment="1" applyProtection="1">
      <alignment horizontal="center" vertical="center"/>
    </xf>
    <xf numFmtId="4" fontId="143" fillId="4" borderId="19" xfId="0" applyNumberFormat="1" applyFont="1" applyFill="1" applyBorder="1" applyAlignment="1" applyProtection="1">
      <alignment horizontal="center" vertical="center"/>
    </xf>
    <xf numFmtId="4" fontId="143" fillId="4" borderId="26" xfId="0" applyNumberFormat="1" applyFont="1" applyFill="1" applyBorder="1" applyAlignment="1" applyProtection="1">
      <alignment horizontal="center" vertical="center"/>
    </xf>
    <xf numFmtId="1" fontId="143" fillId="4" borderId="41" xfId="0" applyNumberFormat="1" applyFont="1" applyFill="1" applyBorder="1" applyAlignment="1" applyProtection="1">
      <alignment horizontal="center" vertical="center"/>
      <protection locked="0"/>
    </xf>
    <xf numFmtId="3" fontId="53" fillId="26" borderId="25" xfId="4" applyNumberFormat="1" applyFont="1" applyFill="1" applyBorder="1" applyAlignment="1" applyProtection="1">
      <alignment horizontal="center" vertical="center"/>
    </xf>
    <xf numFmtId="3" fontId="13" fillId="26" borderId="25" xfId="4" applyNumberFormat="1" applyFont="1" applyFill="1" applyBorder="1" applyAlignment="1" applyProtection="1">
      <alignment horizontal="center" vertical="center"/>
    </xf>
    <xf numFmtId="0" fontId="13" fillId="4" borderId="0" xfId="4" applyFont="1" applyFill="1" applyAlignment="1" applyProtection="1">
      <alignment vertical="center"/>
    </xf>
    <xf numFmtId="0" fontId="53" fillId="13" borderId="19" xfId="4" applyFont="1" applyFill="1" applyBorder="1" applyAlignment="1" applyProtection="1">
      <alignment horizontal="center" vertical="center"/>
    </xf>
    <xf numFmtId="0" fontId="71" fillId="4" borderId="0" xfId="4" applyFont="1" applyFill="1" applyAlignment="1" applyProtection="1">
      <alignment vertical="center"/>
    </xf>
    <xf numFmtId="0" fontId="83" fillId="4" borderId="0" xfId="4" applyFont="1" applyFill="1" applyAlignment="1" applyProtection="1">
      <alignment horizontal="centerContinuous"/>
    </xf>
    <xf numFmtId="1" fontId="150" fillId="32" borderId="1" xfId="0" applyNumberFormat="1" applyFont="1" applyFill="1" applyBorder="1" applyAlignment="1" applyProtection="1">
      <alignment horizontal="center" vertical="center"/>
    </xf>
    <xf numFmtId="3" fontId="159" fillId="37" borderId="3" xfId="0" applyNumberFormat="1" applyFont="1" applyFill="1" applyBorder="1" applyAlignment="1" applyProtection="1">
      <alignment horizontal="center" vertical="center"/>
    </xf>
    <xf numFmtId="3" fontId="224" fillId="37" borderId="3" xfId="0" applyNumberFormat="1" applyFont="1" applyFill="1" applyBorder="1" applyAlignment="1" applyProtection="1">
      <alignment horizontal="center" vertical="top"/>
    </xf>
    <xf numFmtId="3" fontId="159" fillId="37" borderId="49" xfId="0" applyNumberFormat="1" applyFont="1" applyFill="1" applyBorder="1" applyAlignment="1" applyProtection="1">
      <alignment horizontal="center" vertical="center"/>
    </xf>
    <xf numFmtId="3" fontId="224" fillId="37" borderId="49" xfId="0" applyNumberFormat="1" applyFont="1" applyFill="1" applyBorder="1" applyAlignment="1" applyProtection="1">
      <alignment horizontal="center" vertical="top"/>
    </xf>
    <xf numFmtId="3" fontId="224" fillId="37" borderId="3" xfId="0" applyNumberFormat="1" applyFont="1" applyFill="1" applyBorder="1" applyAlignment="1" applyProtection="1">
      <alignment vertical="top"/>
    </xf>
    <xf numFmtId="3" fontId="224" fillId="37" borderId="235" xfId="0" applyNumberFormat="1" applyFont="1" applyFill="1" applyBorder="1" applyAlignment="1" applyProtection="1">
      <alignment vertical="top"/>
    </xf>
    <xf numFmtId="3" fontId="156" fillId="37" borderId="49" xfId="0" applyNumberFormat="1" applyFont="1" applyFill="1" applyBorder="1" applyAlignment="1" applyProtection="1">
      <alignment horizontal="center" vertical="top"/>
    </xf>
    <xf numFmtId="3" fontId="148" fillId="37" borderId="49" xfId="0" applyNumberFormat="1" applyFont="1" applyFill="1" applyBorder="1" applyAlignment="1" applyProtection="1">
      <alignment horizontal="center" vertical="top"/>
    </xf>
    <xf numFmtId="3" fontId="159" fillId="37" borderId="235" xfId="0" applyNumberFormat="1" applyFont="1" applyFill="1" applyBorder="1" applyAlignment="1" applyProtection="1">
      <alignment horizontal="center" vertical="top"/>
    </xf>
    <xf numFmtId="3" fontId="224" fillId="37" borderId="4" xfId="0" applyNumberFormat="1" applyFont="1" applyFill="1" applyBorder="1" applyAlignment="1" applyProtection="1">
      <alignment horizontal="center" vertical="top"/>
    </xf>
    <xf numFmtId="3" fontId="224" fillId="37" borderId="85" xfId="0" applyNumberFormat="1" applyFont="1" applyFill="1" applyBorder="1" applyAlignment="1" applyProtection="1">
      <alignment horizontal="center" vertical="top"/>
    </xf>
    <xf numFmtId="3" fontId="143" fillId="4" borderId="2" xfId="0" applyNumberFormat="1" applyFont="1" applyFill="1" applyBorder="1" applyAlignment="1" applyProtection="1">
      <alignment horizontal="center" vertical="center"/>
      <protection locked="0"/>
    </xf>
    <xf numFmtId="3" fontId="144" fillId="4" borderId="3" xfId="0" applyNumberFormat="1" applyFont="1" applyFill="1" applyBorder="1" applyAlignment="1" applyProtection="1">
      <alignment horizontal="center" vertical="top"/>
      <protection locked="0"/>
    </xf>
    <xf numFmtId="3" fontId="144" fillId="4" borderId="85" xfId="0" applyNumberFormat="1" applyFont="1" applyFill="1" applyBorder="1" applyAlignment="1" applyProtection="1">
      <alignment horizontal="center" vertical="top"/>
      <protection locked="0"/>
    </xf>
    <xf numFmtId="3" fontId="144" fillId="4" borderId="49" xfId="0" applyNumberFormat="1" applyFont="1" applyFill="1" applyBorder="1" applyAlignment="1" applyProtection="1">
      <alignment horizontal="center" vertical="top"/>
      <protection locked="0"/>
    </xf>
    <xf numFmtId="3" fontId="144" fillId="4" borderId="15" xfId="0" applyNumberFormat="1" applyFont="1" applyFill="1" applyBorder="1" applyAlignment="1" applyProtection="1">
      <alignment horizontal="center" vertical="top"/>
      <protection locked="0"/>
    </xf>
    <xf numFmtId="3" fontId="143" fillId="4" borderId="3" xfId="0" applyNumberFormat="1" applyFont="1" applyFill="1" applyBorder="1" applyAlignment="1" applyProtection="1">
      <alignment horizontal="center" vertical="center" wrapText="1"/>
      <protection locked="0"/>
    </xf>
    <xf numFmtId="3" fontId="138" fillId="4" borderId="49" xfId="0" applyNumberFormat="1" applyFont="1" applyFill="1" applyBorder="1" applyAlignment="1" applyProtection="1">
      <alignment horizontal="center" vertical="top"/>
      <protection locked="0"/>
    </xf>
    <xf numFmtId="3" fontId="143" fillId="4" borderId="235" xfId="0" applyNumberFormat="1" applyFont="1" applyFill="1" applyBorder="1" applyAlignment="1" applyProtection="1">
      <alignment horizontal="center" vertical="top"/>
      <protection locked="0"/>
    </xf>
    <xf numFmtId="3" fontId="224" fillId="4" borderId="3" xfId="0" applyNumberFormat="1" applyFont="1" applyFill="1" applyBorder="1" applyAlignment="1" applyProtection="1">
      <alignment horizontal="center" vertical="top"/>
      <protection locked="0"/>
    </xf>
    <xf numFmtId="3" fontId="224" fillId="4" borderId="49" xfId="0" applyNumberFormat="1" applyFont="1" applyFill="1" applyBorder="1" applyAlignment="1" applyProtection="1">
      <alignment horizontal="center" vertical="top"/>
      <protection locked="0"/>
    </xf>
    <xf numFmtId="3" fontId="224" fillId="4" borderId="235" xfId="0" applyNumberFormat="1" applyFont="1" applyFill="1" applyBorder="1" applyAlignment="1" applyProtection="1">
      <alignment horizontal="center" vertical="center"/>
      <protection locked="0"/>
    </xf>
    <xf numFmtId="3" fontId="148" fillId="4" borderId="49" xfId="0" applyNumberFormat="1" applyFont="1" applyFill="1" applyBorder="1" applyAlignment="1" applyProtection="1">
      <alignment horizontal="center" vertical="top"/>
      <protection locked="0"/>
    </xf>
    <xf numFmtId="3" fontId="224" fillId="4" borderId="2" xfId="0" applyNumberFormat="1" applyFont="1" applyFill="1" applyBorder="1" applyAlignment="1" applyProtection="1">
      <alignment horizontal="center" vertical="top"/>
      <protection locked="0"/>
    </xf>
    <xf numFmtId="0" fontId="110" fillId="4" borderId="0" xfId="5" applyFont="1" applyFill="1" applyBorder="1" applyAlignment="1" applyProtection="1">
      <alignment horizontal="centerContinuous" vertical="center"/>
    </xf>
    <xf numFmtId="0" fontId="111" fillId="4" borderId="0" xfId="5" applyFont="1" applyFill="1" applyBorder="1" applyAlignment="1" applyProtection="1">
      <alignment horizontal="centerContinuous" vertical="center"/>
    </xf>
    <xf numFmtId="0" fontId="110" fillId="4" borderId="36" xfId="5" applyFont="1" applyFill="1" applyBorder="1" applyAlignment="1" applyProtection="1">
      <alignment horizontal="centerContinuous" vertical="center"/>
    </xf>
    <xf numFmtId="0" fontId="111" fillId="4" borderId="36" xfId="5" applyFont="1" applyFill="1" applyBorder="1" applyAlignment="1" applyProtection="1">
      <alignment horizontal="centerContinuous" vertical="center"/>
    </xf>
    <xf numFmtId="0" fontId="41" fillId="4" borderId="60" xfId="5" applyFont="1" applyFill="1" applyBorder="1" applyAlignment="1" applyProtection="1">
      <alignment horizontal="right" vertical="center"/>
    </xf>
    <xf numFmtId="0" fontId="15" fillId="4" borderId="59" xfId="5" applyFont="1" applyFill="1" applyBorder="1" applyAlignment="1" applyProtection="1">
      <alignment vertical="center"/>
    </xf>
    <xf numFmtId="1" fontId="15" fillId="4" borderId="5" xfId="5" applyNumberFormat="1" applyFont="1" applyFill="1" applyBorder="1" applyAlignment="1" applyProtection="1">
      <alignment horizontal="center" vertical="center"/>
    </xf>
    <xf numFmtId="1" fontId="15" fillId="4" borderId="86" xfId="5" applyNumberFormat="1" applyFont="1" applyFill="1" applyBorder="1" applyAlignment="1" applyProtection="1">
      <alignment horizontal="center" vertical="center"/>
    </xf>
    <xf numFmtId="0" fontId="19" fillId="4" borderId="67" xfId="5" applyFont="1" applyFill="1" applyBorder="1" applyAlignment="1" applyProtection="1">
      <alignment horizontal="centerContinuous" vertical="center" wrapText="1"/>
    </xf>
    <xf numFmtId="0" fontId="19" fillId="4" borderId="9" xfId="5" applyFont="1" applyFill="1" applyBorder="1" applyAlignment="1" applyProtection="1">
      <alignment horizontal="centerContinuous" vertical="center"/>
    </xf>
    <xf numFmtId="3" fontId="15" fillId="4" borderId="6" xfId="5" applyNumberFormat="1" applyFont="1" applyFill="1" applyBorder="1" applyAlignment="1" applyProtection="1">
      <alignment horizontal="center" vertical="center"/>
    </xf>
    <xf numFmtId="3" fontId="15" fillId="4" borderId="113" xfId="5" applyNumberFormat="1" applyFont="1" applyFill="1" applyBorder="1" applyAlignment="1" applyProtection="1">
      <alignment horizontal="center" vertical="center"/>
    </xf>
    <xf numFmtId="171" fontId="17" fillId="4" borderId="34" xfId="5" applyNumberFormat="1" applyFont="1" applyFill="1" applyBorder="1" applyAlignment="1" applyProtection="1">
      <alignment vertical="center"/>
    </xf>
    <xf numFmtId="171" fontId="15" fillId="4" borderId="34" xfId="5" applyNumberFormat="1" applyFont="1" applyFill="1" applyBorder="1" applyAlignment="1" applyProtection="1">
      <alignment vertical="center"/>
    </xf>
    <xf numFmtId="0" fontId="15" fillId="4" borderId="11" xfId="5" applyFont="1" applyFill="1" applyBorder="1" applyAlignment="1" applyProtection="1">
      <alignment vertical="center"/>
    </xf>
    <xf numFmtId="3" fontId="15" fillId="7" borderId="11" xfId="5" applyNumberFormat="1" applyFont="1" applyFill="1" applyBorder="1" applyAlignment="1" applyProtection="1">
      <alignment horizontal="center" vertical="center"/>
    </xf>
    <xf numFmtId="3" fontId="15" fillId="7" borderId="4" xfId="5" applyNumberFormat="1" applyFont="1" applyFill="1" applyBorder="1" applyAlignment="1" applyProtection="1">
      <alignment horizontal="center" vertical="center"/>
    </xf>
    <xf numFmtId="3" fontId="15" fillId="7" borderId="65" xfId="5" applyNumberFormat="1" applyFont="1" applyFill="1" applyBorder="1" applyAlignment="1" applyProtection="1">
      <alignment horizontal="center" vertical="center"/>
    </xf>
    <xf numFmtId="171" fontId="15" fillId="4" borderId="114" xfId="5" applyNumberFormat="1" applyFont="1" applyFill="1" applyBorder="1" applyAlignment="1" applyProtection="1">
      <alignment vertical="center"/>
    </xf>
    <xf numFmtId="0" fontId="15" fillId="4" borderId="15" xfId="5" applyFont="1" applyFill="1" applyBorder="1" applyAlignment="1" applyProtection="1">
      <alignment vertical="center"/>
    </xf>
    <xf numFmtId="3" fontId="15" fillId="7" borderId="85" xfId="5" applyNumberFormat="1" applyFont="1" applyFill="1" applyBorder="1" applyAlignment="1" applyProtection="1">
      <alignment horizontal="center" vertical="center"/>
    </xf>
    <xf numFmtId="3" fontId="15" fillId="7" borderId="115" xfId="5" applyNumberFormat="1" applyFont="1" applyFill="1" applyBorder="1" applyAlignment="1" applyProtection="1">
      <alignment horizontal="center" vertical="center"/>
    </xf>
    <xf numFmtId="171" fontId="17" fillId="4" borderId="116" xfId="5" applyNumberFormat="1" applyFont="1" applyFill="1" applyBorder="1" applyAlignment="1" applyProtection="1">
      <alignment vertical="center"/>
    </xf>
    <xf numFmtId="0" fontId="15" fillId="4" borderId="48" xfId="5" applyFont="1" applyFill="1" applyBorder="1" applyAlignment="1" applyProtection="1">
      <alignment horizontal="center" vertical="center"/>
    </xf>
    <xf numFmtId="0" fontId="15" fillId="4" borderId="34" xfId="5" applyFont="1" applyFill="1" applyBorder="1" applyAlignment="1" applyProtection="1">
      <alignment vertical="center"/>
    </xf>
    <xf numFmtId="0" fontId="15" fillId="4" borderId="0" xfId="5" applyFont="1" applyFill="1" applyBorder="1" applyAlignment="1" applyProtection="1">
      <alignment vertical="center"/>
    </xf>
    <xf numFmtId="3" fontId="15" fillId="4" borderId="0" xfId="5" applyNumberFormat="1" applyFont="1" applyFill="1" applyBorder="1" applyAlignment="1" applyProtection="1">
      <alignment horizontal="center" vertical="center"/>
    </xf>
    <xf numFmtId="0" fontId="15" fillId="4" borderId="34" xfId="5" applyFont="1" applyFill="1" applyBorder="1" applyAlignment="1" applyProtection="1">
      <alignment horizontal="centerContinuous" vertical="center"/>
    </xf>
    <xf numFmtId="0" fontId="19" fillId="4" borderId="0" xfId="5" applyFont="1" applyFill="1" applyBorder="1" applyAlignment="1" applyProtection="1">
      <alignment horizontal="centerContinuous" vertical="center"/>
    </xf>
    <xf numFmtId="0" fontId="19" fillId="4" borderId="0" xfId="5" applyFont="1" applyFill="1" applyBorder="1" applyAlignment="1" applyProtection="1">
      <alignment horizontal="left" vertical="center"/>
    </xf>
    <xf numFmtId="0" fontId="19" fillId="4" borderId="36" xfId="5" applyFont="1" applyFill="1" applyBorder="1" applyAlignment="1" applyProtection="1">
      <alignment horizontal="left" vertical="center"/>
    </xf>
    <xf numFmtId="0" fontId="15" fillId="4" borderId="34" xfId="5" applyFont="1" applyFill="1" applyBorder="1" applyAlignment="1" applyProtection="1">
      <alignment horizontal="center" vertical="center"/>
    </xf>
    <xf numFmtId="0" fontId="19" fillId="4" borderId="0"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171" fontId="15" fillId="4" borderId="34" xfId="5" applyNumberFormat="1" applyFont="1" applyFill="1" applyBorder="1" applyAlignment="1" applyProtection="1">
      <alignment horizontal="left" vertical="center"/>
    </xf>
    <xf numFmtId="171" fontId="15" fillId="4" borderId="35" xfId="5" applyNumberFormat="1" applyFont="1" applyFill="1" applyBorder="1" applyAlignment="1" applyProtection="1">
      <alignment vertical="center"/>
    </xf>
    <xf numFmtId="3" fontId="102" fillId="4" borderId="11" xfId="5" applyNumberFormat="1" applyFont="1" applyFill="1" applyBorder="1" applyAlignment="1" applyProtection="1">
      <alignment horizontal="center" vertical="center"/>
      <protection locked="0"/>
    </xf>
    <xf numFmtId="0" fontId="15" fillId="4" borderId="3" xfId="5" applyFont="1" applyFill="1" applyBorder="1" applyProtection="1">
      <protection locked="0"/>
    </xf>
    <xf numFmtId="0" fontId="15" fillId="4" borderId="3" xfId="0" applyFont="1" applyFill="1" applyBorder="1" applyProtection="1">
      <protection locked="0"/>
    </xf>
    <xf numFmtId="0" fontId="1" fillId="4" borderId="65" xfId="5" applyFill="1" applyBorder="1" applyProtection="1">
      <protection locked="0"/>
    </xf>
    <xf numFmtId="0" fontId="143" fillId="4" borderId="0" xfId="0" applyFont="1" applyFill="1" applyAlignment="1">
      <alignment horizontal="left" vertical="center"/>
    </xf>
    <xf numFmtId="0" fontId="215" fillId="4" borderId="0" xfId="0" applyFont="1" applyFill="1" applyAlignment="1">
      <alignment horizontal="left" vertical="center"/>
    </xf>
    <xf numFmtId="0" fontId="215" fillId="4" borderId="0" xfId="0" applyFont="1" applyFill="1" applyAlignment="1">
      <alignment horizontal="left" vertical="top"/>
    </xf>
    <xf numFmtId="0" fontId="260" fillId="4" borderId="0" xfId="0" applyFont="1" applyFill="1" applyAlignment="1">
      <alignment horizontal="left" vertical="center"/>
    </xf>
    <xf numFmtId="0" fontId="159" fillId="4" borderId="0" xfId="0" applyFont="1" applyFill="1" applyAlignment="1">
      <alignment horizontal="left" vertical="center"/>
    </xf>
    <xf numFmtId="0" fontId="138" fillId="4" borderId="0" xfId="0" applyFont="1" applyFill="1" applyBorder="1" applyAlignment="1" applyProtection="1">
      <alignment vertical="center" wrapText="1"/>
      <protection locked="0"/>
    </xf>
    <xf numFmtId="0" fontId="143" fillId="4" borderId="0" xfId="0" applyFont="1" applyFill="1" applyBorder="1" applyAlignment="1">
      <alignment horizontal="left" vertical="center"/>
    </xf>
    <xf numFmtId="0" fontId="145" fillId="4" borderId="1" xfId="0" applyFont="1" applyFill="1" applyBorder="1" applyAlignment="1">
      <alignment horizontal="center" vertical="center"/>
    </xf>
    <xf numFmtId="0" fontId="139" fillId="4" borderId="0" xfId="0" applyFont="1" applyFill="1" applyAlignment="1" applyProtection="1">
      <alignment horizontal="left" vertical="top" wrapText="1"/>
    </xf>
    <xf numFmtId="0" fontId="129" fillId="4" borderId="0" xfId="0" applyFont="1" applyFill="1" applyAlignment="1">
      <alignment vertical="center"/>
    </xf>
    <xf numFmtId="0" fontId="263" fillId="4" borderId="0" xfId="0" applyFont="1" applyFill="1" applyAlignment="1">
      <alignment horizontal="left"/>
    </xf>
    <xf numFmtId="0" fontId="262" fillId="4" borderId="1" xfId="0" applyFont="1" applyFill="1" applyBorder="1" applyAlignment="1">
      <alignment horizontal="left" vertical="center"/>
    </xf>
    <xf numFmtId="0" fontId="263" fillId="4" borderId="18" xfId="0" applyFont="1" applyFill="1" applyBorder="1" applyAlignment="1">
      <alignment horizontal="left"/>
    </xf>
    <xf numFmtId="0" fontId="263" fillId="4" borderId="19" xfId="0" applyFont="1" applyFill="1" applyBorder="1" applyAlignment="1">
      <alignment horizontal="left"/>
    </xf>
    <xf numFmtId="0" fontId="263" fillId="4" borderId="26" xfId="0" applyFont="1" applyFill="1" applyBorder="1" applyAlignment="1">
      <alignment horizontal="left"/>
    </xf>
    <xf numFmtId="0" fontId="262" fillId="4" borderId="1" xfId="0" applyFont="1" applyFill="1" applyBorder="1" applyAlignment="1">
      <alignment horizontal="center" vertical="center"/>
    </xf>
    <xf numFmtId="0" fontId="263" fillId="4" borderId="18" xfId="0" applyFont="1" applyFill="1" applyBorder="1" applyAlignment="1">
      <alignment horizontal="center"/>
    </xf>
    <xf numFmtId="0" fontId="263" fillId="4" borderId="19" xfId="0" applyFont="1" applyFill="1" applyBorder="1" applyAlignment="1">
      <alignment horizontal="center"/>
    </xf>
    <xf numFmtId="0" fontId="263" fillId="4" borderId="26" xfId="0" applyFont="1" applyFill="1" applyBorder="1" applyAlignment="1">
      <alignment horizontal="center"/>
    </xf>
    <xf numFmtId="0" fontId="263" fillId="4" borderId="0" xfId="0" applyFont="1" applyFill="1" applyAlignment="1">
      <alignment horizontal="center"/>
    </xf>
    <xf numFmtId="0" fontId="143" fillId="11" borderId="0" xfId="0" applyFont="1" applyFill="1" applyBorder="1" applyAlignment="1" applyProtection="1">
      <alignment horizontal="center" vertical="center"/>
    </xf>
    <xf numFmtId="4" fontId="143" fillId="11" borderId="0" xfId="0" applyNumberFormat="1" applyFont="1" applyFill="1" applyBorder="1" applyAlignment="1" applyProtection="1">
      <alignment horizontal="center" vertical="center"/>
    </xf>
    <xf numFmtId="1" fontId="22" fillId="11" borderId="0" xfId="0" applyNumberFormat="1" applyFont="1" applyFill="1" applyBorder="1" applyAlignment="1" applyProtection="1">
      <alignment horizontal="center" vertical="center"/>
    </xf>
    <xf numFmtId="3" fontId="159" fillId="11" borderId="12" xfId="0" applyNumberFormat="1" applyFont="1" applyFill="1" applyBorder="1" applyAlignment="1" applyProtection="1">
      <alignment horizontal="center" vertical="center"/>
    </xf>
    <xf numFmtId="0" fontId="143" fillId="11" borderId="0" xfId="0" applyFont="1" applyFill="1" applyProtection="1"/>
    <xf numFmtId="3" fontId="15" fillId="4" borderId="301" xfId="0" applyNumberFormat="1" applyFont="1" applyFill="1" applyBorder="1" applyAlignment="1" applyProtection="1">
      <alignment horizontal="center" vertical="center"/>
    </xf>
    <xf numFmtId="3" fontId="15" fillId="4" borderId="19" xfId="0" applyNumberFormat="1" applyFont="1" applyFill="1" applyBorder="1" applyAlignment="1" applyProtection="1">
      <alignment horizontal="center" vertical="center"/>
    </xf>
    <xf numFmtId="22" fontId="130" fillId="4" borderId="0" xfId="0" applyNumberFormat="1" applyFont="1" applyFill="1" applyProtection="1"/>
    <xf numFmtId="0" fontId="143" fillId="4" borderId="0" xfId="0" applyFont="1" applyFill="1" applyBorder="1" applyAlignment="1" applyProtection="1"/>
    <xf numFmtId="0" fontId="163" fillId="4" borderId="0" xfId="0" applyFont="1" applyFill="1" applyBorder="1" applyAlignment="1" applyProtection="1">
      <alignment vertical="top"/>
    </xf>
    <xf numFmtId="1" fontId="158" fillId="4" borderId="2" xfId="0" applyNumberFormat="1" applyFont="1" applyFill="1" applyBorder="1" applyAlignment="1" applyProtection="1">
      <alignment horizontal="center" vertical="center" wrapText="1"/>
    </xf>
    <xf numFmtId="0" fontId="143" fillId="4" borderId="81" xfId="0" applyFont="1" applyFill="1" applyBorder="1" applyAlignment="1" applyProtection="1">
      <alignment horizontal="center" vertical="center"/>
      <protection locked="0"/>
    </xf>
    <xf numFmtId="1" fontId="158" fillId="4" borderId="48" xfId="0" applyNumberFormat="1" applyFont="1" applyFill="1" applyBorder="1" applyAlignment="1" applyProtection="1">
      <alignment horizontal="center" vertical="center" wrapText="1"/>
    </xf>
    <xf numFmtId="3" fontId="145" fillId="7" borderId="302" xfId="0" quotePrefix="1" applyNumberFormat="1" applyFont="1" applyFill="1" applyBorder="1" applyAlignment="1" applyProtection="1">
      <alignment horizontal="center" vertical="center"/>
    </xf>
    <xf numFmtId="0" fontId="156" fillId="0" borderId="2" xfId="0" applyFont="1" applyFill="1" applyBorder="1" applyAlignment="1" applyProtection="1">
      <alignment horizontal="center" vertical="center" wrapText="1"/>
    </xf>
    <xf numFmtId="3" fontId="195" fillId="11" borderId="1" xfId="0" applyNumberFormat="1" applyFont="1" applyFill="1" applyBorder="1" applyAlignment="1" applyProtection="1">
      <alignment horizontal="center" vertical="center"/>
    </xf>
    <xf numFmtId="3" fontId="195" fillId="11" borderId="2" xfId="0" applyNumberFormat="1" applyFont="1" applyFill="1" applyBorder="1" applyAlignment="1" applyProtection="1">
      <alignment horizontal="center" vertical="center"/>
    </xf>
    <xf numFmtId="3" fontId="159" fillId="4" borderId="66" xfId="0" applyNumberFormat="1" applyFont="1" applyFill="1" applyBorder="1" applyAlignment="1" applyProtection="1">
      <alignment horizontal="center" vertical="center"/>
    </xf>
    <xf numFmtId="0" fontId="53" fillId="4" borderId="3" xfId="4" applyFont="1" applyFill="1" applyBorder="1" applyAlignment="1" applyProtection="1">
      <alignment horizontal="left" vertical="center"/>
    </xf>
    <xf numFmtId="0" fontId="10" fillId="4" borderId="3" xfId="4" applyFont="1" applyFill="1" applyBorder="1" applyAlignment="1" applyProtection="1">
      <alignment vertical="center"/>
    </xf>
    <xf numFmtId="9" fontId="13" fillId="4" borderId="0" xfId="6" applyFont="1" applyFill="1" applyAlignment="1" applyProtection="1">
      <alignment vertical="center"/>
    </xf>
    <xf numFmtId="0" fontId="15" fillId="4" borderId="11" xfId="5" applyFont="1" applyFill="1" applyBorder="1" applyAlignment="1" applyProtection="1">
      <alignment horizontal="center" vertical="center"/>
    </xf>
    <xf numFmtId="0" fontId="194" fillId="4" borderId="0" xfId="0" applyFont="1" applyFill="1" applyProtection="1"/>
    <xf numFmtId="0" fontId="264" fillId="4" borderId="0" xfId="0" applyFont="1" applyFill="1" applyProtection="1"/>
    <xf numFmtId="0" fontId="265" fillId="4" borderId="0" xfId="0" applyFont="1" applyFill="1" applyProtection="1"/>
    <xf numFmtId="0" fontId="266" fillId="4" borderId="0" xfId="0" applyFont="1" applyFill="1" applyProtection="1"/>
    <xf numFmtId="3" fontId="102" fillId="4" borderId="0" xfId="5" applyNumberFormat="1" applyFont="1" applyFill="1" applyBorder="1" applyAlignment="1" applyProtection="1">
      <alignment horizontal="center" vertical="center"/>
      <protection locked="0"/>
    </xf>
    <xf numFmtId="3" fontId="102" fillId="4" borderId="65" xfId="5" applyNumberFormat="1" applyFont="1" applyFill="1" applyBorder="1" applyAlignment="1" applyProtection="1">
      <alignment horizontal="center" vertical="center"/>
      <protection locked="0"/>
    </xf>
    <xf numFmtId="0" fontId="156" fillId="4" borderId="0" xfId="0" applyFont="1" applyFill="1" applyBorder="1" applyAlignment="1" applyProtection="1">
      <alignment horizontal="left" vertical="top" wrapText="1"/>
    </xf>
    <xf numFmtId="0" fontId="156" fillId="4" borderId="228" xfId="0" applyFont="1" applyFill="1" applyBorder="1" applyAlignment="1" applyProtection="1">
      <alignment horizontal="left" vertical="top" wrapText="1"/>
    </xf>
    <xf numFmtId="0" fontId="167" fillId="39" borderId="176" xfId="0" applyFont="1" applyFill="1" applyBorder="1" applyAlignment="1" applyProtection="1">
      <alignment vertical="center"/>
    </xf>
    <xf numFmtId="0" fontId="189" fillId="39" borderId="176" xfId="0" applyFont="1" applyFill="1" applyBorder="1" applyAlignment="1" applyProtection="1">
      <alignment vertical="center"/>
    </xf>
    <xf numFmtId="0" fontId="154" fillId="39" borderId="176" xfId="0" applyFont="1" applyFill="1" applyBorder="1" applyAlignment="1" applyProtection="1">
      <alignment vertical="center"/>
    </xf>
    <xf numFmtId="0" fontId="153" fillId="38" borderId="177" xfId="0" applyFont="1" applyFill="1" applyBorder="1" applyAlignment="1" applyProtection="1">
      <alignment vertical="center"/>
    </xf>
    <xf numFmtId="0" fontId="138" fillId="4" borderId="0" xfId="0" applyFont="1" applyFill="1" applyAlignment="1" applyProtection="1"/>
    <xf numFmtId="0" fontId="156" fillId="4" borderId="0" xfId="0" applyFont="1" applyFill="1" applyAlignment="1" applyProtection="1"/>
    <xf numFmtId="2" fontId="159" fillId="5" borderId="130" xfId="6" quotePrefix="1" applyNumberFormat="1" applyFont="1" applyFill="1" applyBorder="1" applyAlignment="1" applyProtection="1">
      <alignment horizontal="center" vertical="center"/>
    </xf>
    <xf numFmtId="2" fontId="159" fillId="5" borderId="129" xfId="6" quotePrefix="1" applyNumberFormat="1" applyFont="1" applyFill="1" applyBorder="1" applyAlignment="1" applyProtection="1">
      <alignment vertical="center"/>
    </xf>
    <xf numFmtId="2" fontId="160" fillId="5" borderId="131" xfId="6" quotePrefix="1" applyNumberFormat="1" applyFont="1" applyFill="1" applyBorder="1" applyAlignment="1" applyProtection="1">
      <alignment vertical="center"/>
    </xf>
    <xf numFmtId="0" fontId="171" fillId="4" borderId="0" xfId="0" applyFont="1" applyFill="1" applyBorder="1" applyAlignment="1" applyProtection="1">
      <alignment horizontal="left" vertical="top"/>
    </xf>
    <xf numFmtId="0" fontId="171" fillId="4" borderId="229" xfId="0" applyFont="1" applyFill="1" applyBorder="1" applyAlignment="1" applyProtection="1">
      <alignment vertical="top"/>
    </xf>
    <xf numFmtId="0" fontId="0" fillId="0" borderId="1" xfId="0" applyBorder="1"/>
    <xf numFmtId="0" fontId="15" fillId="4" borderId="120" xfId="5" applyFont="1" applyFill="1" applyBorder="1" applyProtection="1"/>
    <xf numFmtId="0" fontId="15" fillId="4" borderId="72" xfId="5" applyFont="1" applyFill="1" applyBorder="1" applyProtection="1"/>
    <xf numFmtId="0" fontId="15" fillId="4" borderId="34" xfId="5" applyFont="1" applyFill="1" applyBorder="1" applyProtection="1"/>
    <xf numFmtId="0" fontId="15" fillId="4" borderId="0" xfId="5" applyFont="1" applyFill="1" applyBorder="1" applyProtection="1"/>
    <xf numFmtId="0" fontId="1" fillId="4" borderId="30" xfId="5" applyFill="1" applyBorder="1" applyProtection="1"/>
    <xf numFmtId="0" fontId="15" fillId="4" borderId="35" xfId="5" applyFont="1" applyFill="1" applyBorder="1" applyProtection="1"/>
    <xf numFmtId="0" fontId="15" fillId="4" borderId="36" xfId="5" applyFont="1" applyFill="1" applyBorder="1" applyProtection="1"/>
    <xf numFmtId="0" fontId="1" fillId="4" borderId="37" xfId="5" applyFill="1" applyBorder="1" applyProtection="1"/>
    <xf numFmtId="0" fontId="109" fillId="0" borderId="0" xfId="5" applyFont="1"/>
    <xf numFmtId="0" fontId="1" fillId="0" borderId="0" xfId="5" applyFont="1"/>
    <xf numFmtId="0" fontId="109" fillId="0" borderId="0" xfId="5" applyFont="1" applyAlignment="1">
      <alignment horizontal="right"/>
    </xf>
    <xf numFmtId="0" fontId="1" fillId="0" borderId="0" xfId="10" applyFont="1" applyBorder="1" applyAlignment="1">
      <alignment vertical="center"/>
    </xf>
    <xf numFmtId="0" fontId="1" fillId="0" borderId="59" xfId="10" applyFont="1" applyBorder="1" applyAlignment="1">
      <alignment vertical="center"/>
    </xf>
    <xf numFmtId="0" fontId="1" fillId="0" borderId="0" xfId="10" applyFont="1" applyAlignment="1">
      <alignment vertical="center"/>
    </xf>
    <xf numFmtId="0" fontId="1" fillId="0" borderId="90" xfId="10" applyFont="1" applyBorder="1" applyAlignment="1" applyProtection="1">
      <alignment horizontal="center" vertical="center"/>
      <protection locked="0"/>
    </xf>
    <xf numFmtId="0" fontId="1" fillId="0" borderId="90" xfId="10" applyFont="1" applyBorder="1" applyAlignment="1" applyProtection="1">
      <alignment vertical="center"/>
      <protection locked="0"/>
    </xf>
    <xf numFmtId="3" fontId="1" fillId="0" borderId="90" xfId="10" applyNumberFormat="1" applyFont="1" applyBorder="1" applyAlignment="1" applyProtection="1">
      <alignment vertical="center"/>
      <protection locked="0"/>
    </xf>
    <xf numFmtId="14" fontId="1" fillId="0" borderId="21" xfId="10" applyNumberFormat="1" applyFont="1" applyBorder="1" applyAlignment="1" applyProtection="1">
      <alignment horizontal="center" vertical="center"/>
      <protection locked="0"/>
    </xf>
    <xf numFmtId="0" fontId="1" fillId="0" borderId="120" xfId="10" applyNumberFormat="1" applyFont="1" applyBorder="1" applyAlignment="1" applyProtection="1">
      <alignment horizontal="center" vertical="center"/>
      <protection locked="0"/>
    </xf>
    <xf numFmtId="3" fontId="1" fillId="0" borderId="88" xfId="10" applyNumberFormat="1" applyFont="1" applyBorder="1" applyAlignment="1" applyProtection="1">
      <alignment vertical="center"/>
      <protection locked="0"/>
    </xf>
    <xf numFmtId="10" fontId="1" fillId="0" borderId="90" xfId="10" applyNumberFormat="1" applyFont="1" applyBorder="1" applyAlignment="1" applyProtection="1">
      <alignment vertical="center"/>
      <protection locked="0"/>
    </xf>
    <xf numFmtId="0" fontId="1" fillId="0" borderId="120" xfId="10" applyFont="1" applyBorder="1" applyAlignment="1" applyProtection="1">
      <alignment vertical="center"/>
      <protection locked="0"/>
    </xf>
    <xf numFmtId="0" fontId="1" fillId="0" borderId="21" xfId="10" applyFont="1" applyBorder="1" applyAlignment="1" applyProtection="1">
      <alignment horizontal="center" vertical="center"/>
      <protection locked="0"/>
    </xf>
    <xf numFmtId="0" fontId="1" fillId="0" borderId="21" xfId="10" applyFont="1" applyBorder="1" applyAlignment="1" applyProtection="1">
      <alignment vertical="center"/>
      <protection locked="0"/>
    </xf>
    <xf numFmtId="3" fontId="1" fillId="0" borderId="21" xfId="10" applyNumberFormat="1" applyFont="1" applyBorder="1" applyAlignment="1" applyProtection="1">
      <alignment vertical="center"/>
      <protection locked="0"/>
    </xf>
    <xf numFmtId="0" fontId="1" fillId="0" borderId="34" xfId="10" applyNumberFormat="1" applyFont="1" applyBorder="1" applyAlignment="1" applyProtection="1">
      <alignment horizontal="center" vertical="center"/>
      <protection locked="0"/>
    </xf>
    <xf numFmtId="3" fontId="1" fillId="0" borderId="30" xfId="10" applyNumberFormat="1" applyFont="1" applyBorder="1" applyAlignment="1" applyProtection="1">
      <alignment vertical="center"/>
      <protection locked="0"/>
    </xf>
    <xf numFmtId="10" fontId="1" fillId="0" borderId="21" xfId="10" applyNumberFormat="1" applyFont="1" applyBorder="1" applyAlignment="1" applyProtection="1">
      <alignment vertical="center"/>
      <protection locked="0"/>
    </xf>
    <xf numFmtId="0" fontId="1" fillId="0" borderId="34" xfId="10" applyFont="1" applyBorder="1" applyAlignment="1" applyProtection="1">
      <alignment vertical="center"/>
      <protection locked="0"/>
    </xf>
    <xf numFmtId="0" fontId="270" fillId="0" borderId="21" xfId="10" applyFont="1" applyBorder="1" applyAlignment="1" applyProtection="1">
      <alignment vertical="center"/>
      <protection locked="0"/>
    </xf>
    <xf numFmtId="0" fontId="1" fillId="0" borderId="34" xfId="10" applyFont="1" applyBorder="1" applyAlignment="1" applyProtection="1">
      <alignment horizontal="center" vertical="center"/>
      <protection locked="0"/>
    </xf>
    <xf numFmtId="0" fontId="1" fillId="0" borderId="34" xfId="10" applyNumberFormat="1" applyFont="1" applyFill="1" applyBorder="1" applyAlignment="1" applyProtection="1">
      <alignment horizontal="center" vertical="center"/>
      <protection locked="0"/>
    </xf>
    <xf numFmtId="0" fontId="1" fillId="0" borderId="21" xfId="10" applyFont="1" applyFill="1" applyBorder="1" applyAlignment="1" applyProtection="1">
      <alignment vertical="center"/>
      <protection locked="0"/>
    </xf>
    <xf numFmtId="0" fontId="1" fillId="2" borderId="34" xfId="10" applyNumberFormat="1" applyFont="1" applyFill="1" applyBorder="1" applyAlignment="1" applyProtection="1">
      <alignment horizontal="center" vertical="center"/>
      <protection locked="0"/>
    </xf>
    <xf numFmtId="0" fontId="271" fillId="0" borderId="21" xfId="10" applyFont="1" applyFill="1" applyBorder="1" applyAlignment="1" applyProtection="1">
      <alignment vertical="center"/>
      <protection locked="0"/>
    </xf>
    <xf numFmtId="0" fontId="271" fillId="0" borderId="0" xfId="10" applyFont="1" applyFill="1" applyBorder="1" applyAlignment="1" applyProtection="1">
      <alignment vertical="center"/>
      <protection locked="0"/>
    </xf>
    <xf numFmtId="0" fontId="1" fillId="2" borderId="21" xfId="10" applyFont="1" applyFill="1" applyBorder="1" applyAlignment="1" applyProtection="1">
      <alignment vertical="center"/>
      <protection locked="0"/>
    </xf>
    <xf numFmtId="0" fontId="1" fillId="0" borderId="89" xfId="10" applyFont="1" applyBorder="1" applyAlignment="1" applyProtection="1">
      <alignment vertical="center"/>
      <protection locked="0"/>
    </xf>
    <xf numFmtId="0" fontId="1" fillId="0" borderId="0" xfId="10" applyFont="1" applyFill="1" applyBorder="1" applyAlignment="1">
      <alignment vertical="center"/>
    </xf>
    <xf numFmtId="0" fontId="1" fillId="0" borderId="90" xfId="10" applyFont="1" applyFill="1" applyBorder="1" applyAlignment="1" applyProtection="1">
      <alignment vertical="center"/>
      <protection locked="0"/>
    </xf>
    <xf numFmtId="3" fontId="1" fillId="0" borderId="90" xfId="10" applyNumberFormat="1" applyFont="1" applyFill="1" applyBorder="1" applyAlignment="1" applyProtection="1">
      <alignment vertical="center"/>
      <protection locked="0"/>
    </xf>
    <xf numFmtId="14" fontId="1" fillId="0" borderId="90" xfId="10" applyNumberFormat="1" applyFont="1" applyFill="1" applyBorder="1" applyAlignment="1" applyProtection="1">
      <alignment vertical="center"/>
      <protection locked="0"/>
    </xf>
    <xf numFmtId="10" fontId="1" fillId="0" borderId="90" xfId="10" applyNumberFormat="1" applyFont="1" applyFill="1" applyBorder="1" applyAlignment="1" applyProtection="1">
      <alignment vertical="center"/>
      <protection locked="0"/>
    </xf>
    <xf numFmtId="3" fontId="1" fillId="0" borderId="21" xfId="10" applyNumberFormat="1" applyFont="1" applyFill="1" applyBorder="1" applyAlignment="1" applyProtection="1">
      <alignment vertical="center"/>
      <protection locked="0"/>
    </xf>
    <xf numFmtId="1" fontId="1" fillId="0" borderId="21" xfId="10" applyNumberFormat="1" applyFont="1" applyFill="1" applyBorder="1" applyAlignment="1" applyProtection="1">
      <alignment vertical="center"/>
      <protection locked="0"/>
    </xf>
    <xf numFmtId="14" fontId="1" fillId="0" borderId="21" xfId="10" applyNumberFormat="1" applyFont="1" applyFill="1" applyBorder="1" applyAlignment="1" applyProtection="1">
      <alignment vertical="center"/>
      <protection locked="0"/>
    </xf>
    <xf numFmtId="10" fontId="1" fillId="0" borderId="21" xfId="10" applyNumberFormat="1" applyFont="1" applyFill="1" applyBorder="1" applyAlignment="1" applyProtection="1">
      <alignment vertical="center"/>
      <protection locked="0"/>
    </xf>
    <xf numFmtId="0" fontId="1" fillId="0" borderId="89" xfId="10" applyFont="1" applyFill="1" applyBorder="1" applyAlignment="1" applyProtection="1">
      <alignment vertical="center"/>
      <protection locked="0"/>
    </xf>
    <xf numFmtId="3" fontId="1" fillId="0" borderId="89" xfId="10" applyNumberFormat="1" applyFont="1" applyFill="1" applyBorder="1" applyAlignment="1" applyProtection="1">
      <alignment vertical="center"/>
      <protection locked="0"/>
    </xf>
    <xf numFmtId="14" fontId="1" fillId="0" borderId="89" xfId="10" applyNumberFormat="1" applyFont="1" applyFill="1" applyBorder="1" applyAlignment="1" applyProtection="1">
      <alignment vertical="center"/>
      <protection locked="0"/>
    </xf>
    <xf numFmtId="10" fontId="1" fillId="0" borderId="89" xfId="10" applyNumberFormat="1" applyFont="1" applyFill="1" applyBorder="1" applyAlignment="1" applyProtection="1">
      <alignment vertical="center"/>
      <protection locked="0"/>
    </xf>
    <xf numFmtId="0" fontId="1" fillId="0" borderId="0" xfId="10" applyFont="1" applyBorder="1" applyAlignment="1"/>
    <xf numFmtId="14" fontId="1" fillId="0" borderId="90" xfId="10" applyNumberFormat="1" applyFont="1" applyBorder="1" applyAlignment="1" applyProtection="1">
      <alignment horizontal="center" vertical="center"/>
      <protection locked="0"/>
    </xf>
    <xf numFmtId="0" fontId="1" fillId="0" borderId="90" xfId="10" applyNumberFormat="1" applyFont="1" applyBorder="1" applyAlignment="1" applyProtection="1">
      <alignment horizontal="center" vertical="center"/>
      <protection locked="0"/>
    </xf>
    <xf numFmtId="0" fontId="1" fillId="0" borderId="21" xfId="10" applyNumberFormat="1" applyFont="1" applyBorder="1" applyAlignment="1" applyProtection="1">
      <alignment horizontal="center" vertical="center"/>
      <protection locked="0"/>
    </xf>
    <xf numFmtId="0" fontId="273" fillId="0" borderId="21" xfId="10" applyFont="1" applyFill="1" applyBorder="1" applyAlignment="1" applyProtection="1">
      <alignment vertical="center"/>
      <protection locked="0"/>
    </xf>
    <xf numFmtId="0" fontId="274" fillId="0" borderId="0" xfId="4" applyFont="1"/>
    <xf numFmtId="0" fontId="109" fillId="0" borderId="0" xfId="16" applyFont="1" applyBorder="1" applyAlignment="1">
      <alignment horizontal="left" vertical="center"/>
    </xf>
    <xf numFmtId="0" fontId="1" fillId="0" borderId="0" xfId="16" applyFont="1" applyBorder="1" applyAlignment="1">
      <alignment vertical="center"/>
    </xf>
    <xf numFmtId="0" fontId="1" fillId="3" borderId="2" xfId="16" applyFont="1" applyFill="1" applyBorder="1" applyAlignment="1" applyProtection="1">
      <alignment vertical="center"/>
      <protection locked="0"/>
    </xf>
    <xf numFmtId="14" fontId="1" fillId="3" borderId="2" xfId="16" applyNumberFormat="1" applyFont="1" applyFill="1" applyBorder="1" applyAlignment="1" applyProtection="1">
      <alignment horizontal="center" vertical="center"/>
      <protection locked="0"/>
    </xf>
    <xf numFmtId="0" fontId="1" fillId="3" borderId="2" xfId="16" applyFont="1" applyFill="1" applyBorder="1" applyAlignment="1" applyProtection="1">
      <alignment horizontal="center" vertical="center"/>
      <protection locked="0"/>
    </xf>
    <xf numFmtId="10" fontId="1" fillId="3" borderId="2" xfId="16" applyNumberFormat="1" applyFont="1" applyFill="1" applyBorder="1" applyAlignment="1" applyProtection="1">
      <alignment horizontal="center" vertical="center"/>
      <protection locked="0"/>
    </xf>
    <xf numFmtId="4" fontId="1" fillId="3" borderId="2" xfId="16" applyNumberFormat="1" applyFont="1" applyFill="1" applyBorder="1" applyAlignment="1" applyProtection="1">
      <alignment vertical="center"/>
      <protection locked="0"/>
    </xf>
    <xf numFmtId="4" fontId="1" fillId="41" borderId="2" xfId="16" applyNumberFormat="1" applyFont="1" applyFill="1" applyBorder="1" applyAlignment="1" applyProtection="1">
      <alignment vertical="center"/>
      <protection locked="0"/>
    </xf>
    <xf numFmtId="0" fontId="1" fillId="3" borderId="3" xfId="16" applyFont="1" applyFill="1" applyBorder="1" applyAlignment="1" applyProtection="1">
      <alignment vertical="center"/>
      <protection locked="0"/>
    </xf>
    <xf numFmtId="1" fontId="1" fillId="3" borderId="3" xfId="16" applyNumberFormat="1" applyFont="1" applyFill="1" applyBorder="1" applyAlignment="1" applyProtection="1">
      <alignment horizontal="center" vertical="center"/>
      <protection locked="0"/>
    </xf>
    <xf numFmtId="0" fontId="273" fillId="3" borderId="3" xfId="16" applyFont="1" applyFill="1" applyBorder="1" applyAlignment="1" applyProtection="1">
      <alignment horizontal="center" vertical="center"/>
      <protection locked="0"/>
    </xf>
    <xf numFmtId="10" fontId="1" fillId="3" borderId="3" xfId="16" applyNumberFormat="1" applyFont="1" applyFill="1" applyBorder="1" applyAlignment="1" applyProtection="1">
      <alignment horizontal="center" vertical="center"/>
      <protection locked="0"/>
    </xf>
    <xf numFmtId="4" fontId="1" fillId="3" borderId="3" xfId="16" applyNumberFormat="1" applyFont="1" applyFill="1" applyBorder="1" applyAlignment="1" applyProtection="1">
      <alignment vertical="center"/>
      <protection locked="0"/>
    </xf>
    <xf numFmtId="4" fontId="1" fillId="41" borderId="3" xfId="16" applyNumberFormat="1" applyFont="1" applyFill="1" applyBorder="1" applyAlignment="1" applyProtection="1">
      <alignment vertical="center"/>
      <protection locked="0"/>
    </xf>
    <xf numFmtId="14" fontId="1" fillId="3" borderId="3" xfId="16" applyNumberFormat="1" applyFont="1" applyFill="1" applyBorder="1" applyAlignment="1" applyProtection="1">
      <alignment horizontal="center" vertical="center"/>
      <protection locked="0"/>
    </xf>
    <xf numFmtId="0" fontId="1" fillId="3" borderId="3" xfId="16" applyFont="1" applyFill="1" applyBorder="1" applyAlignment="1" applyProtection="1">
      <alignment horizontal="center" vertical="center"/>
      <protection locked="0"/>
    </xf>
    <xf numFmtId="49" fontId="1" fillId="0" borderId="0" xfId="5" applyNumberFormat="1" applyFont="1" applyAlignment="1">
      <alignment horizontal="right"/>
    </xf>
    <xf numFmtId="0" fontId="109" fillId="3" borderId="3" xfId="16" applyFont="1" applyFill="1" applyBorder="1" applyAlignment="1" applyProtection="1">
      <alignment vertical="center"/>
      <protection locked="0"/>
    </xf>
    <xf numFmtId="14" fontId="109" fillId="3" borderId="3" xfId="16" applyNumberFormat="1" applyFont="1" applyFill="1" applyBorder="1" applyAlignment="1" applyProtection="1">
      <alignment horizontal="center" vertical="center"/>
      <protection locked="0"/>
    </xf>
    <xf numFmtId="4" fontId="109" fillId="41" borderId="3" xfId="16" applyNumberFormat="1" applyFont="1" applyFill="1" applyBorder="1" applyAlignment="1" applyProtection="1">
      <alignment vertical="center"/>
      <protection locked="0"/>
    </xf>
    <xf numFmtId="4" fontId="109" fillId="3" borderId="3" xfId="16" applyNumberFormat="1" applyFont="1" applyFill="1" applyBorder="1" applyAlignment="1" applyProtection="1">
      <alignment vertical="center"/>
      <protection locked="0"/>
    </xf>
    <xf numFmtId="0" fontId="1" fillId="3" borderId="85" xfId="16" applyFont="1" applyFill="1" applyBorder="1" applyAlignment="1">
      <alignment vertical="center"/>
    </xf>
    <xf numFmtId="14" fontId="1" fillId="3" borderId="49" xfId="16" applyNumberFormat="1" applyFont="1" applyFill="1" applyBorder="1" applyAlignment="1">
      <alignment horizontal="center" vertical="center"/>
    </xf>
    <xf numFmtId="0" fontId="1" fillId="3" borderId="49" xfId="16" applyFont="1" applyFill="1" applyBorder="1" applyAlignment="1">
      <alignment horizontal="center" vertical="center"/>
    </xf>
    <xf numFmtId="10" fontId="1" fillId="3" borderId="49" xfId="16" applyNumberFormat="1" applyFont="1" applyFill="1" applyBorder="1" applyAlignment="1">
      <alignment horizontal="center" vertical="center"/>
    </xf>
    <xf numFmtId="4" fontId="1" fillId="3" borderId="49" xfId="16" applyNumberFormat="1" applyFont="1" applyFill="1" applyBorder="1" applyAlignment="1">
      <alignment vertical="center"/>
    </xf>
    <xf numFmtId="4" fontId="1" fillId="41" borderId="49" xfId="16" applyNumberFormat="1" applyFont="1" applyFill="1" applyBorder="1" applyAlignment="1">
      <alignment vertical="center"/>
    </xf>
    <xf numFmtId="0" fontId="143" fillId="4" borderId="100" xfId="0" applyFont="1" applyFill="1" applyBorder="1" applyAlignment="1" applyProtection="1">
      <alignment horizontal="center" vertical="center"/>
      <protection locked="0"/>
    </xf>
    <xf numFmtId="0" fontId="143" fillId="4" borderId="39" xfId="0" applyFont="1" applyFill="1" applyBorder="1" applyAlignment="1" applyProtection="1">
      <alignment horizontal="center" vertical="center"/>
      <protection locked="0"/>
    </xf>
    <xf numFmtId="0" fontId="143" fillId="4" borderId="101" xfId="0" applyFont="1" applyFill="1" applyBorder="1" applyAlignment="1" applyProtection="1">
      <alignment horizontal="center" vertical="center"/>
      <protection locked="0"/>
    </xf>
    <xf numFmtId="0" fontId="143" fillId="4" borderId="102" xfId="0" applyFont="1" applyFill="1" applyBorder="1" applyAlignment="1" applyProtection="1">
      <alignment horizontal="center" vertical="center"/>
      <protection locked="0"/>
    </xf>
    <xf numFmtId="0" fontId="143" fillId="4" borderId="81" xfId="0" applyFont="1" applyFill="1" applyBorder="1" applyAlignment="1" applyProtection="1">
      <alignment horizontal="center" vertical="center"/>
      <protection locked="0"/>
    </xf>
    <xf numFmtId="0" fontId="143" fillId="4" borderId="97" xfId="0" applyFont="1" applyFill="1" applyBorder="1" applyAlignment="1" applyProtection="1">
      <alignment horizontal="center" vertical="center"/>
      <protection locked="0"/>
    </xf>
    <xf numFmtId="1" fontId="138" fillId="0" borderId="5" xfId="0" applyNumberFormat="1" applyFont="1" applyFill="1" applyBorder="1" applyAlignment="1" applyProtection="1">
      <alignment horizontal="center" vertical="center"/>
    </xf>
    <xf numFmtId="168" fontId="138" fillId="4" borderId="41" xfId="0" applyNumberFormat="1" applyFont="1" applyFill="1" applyBorder="1" applyAlignment="1" applyProtection="1">
      <alignment horizontal="center" vertical="center"/>
      <protection locked="0"/>
    </xf>
    <xf numFmtId="0" fontId="0" fillId="0" borderId="0" xfId="0" applyFill="1"/>
    <xf numFmtId="0" fontId="279" fillId="0" borderId="0" xfId="21" applyAlignment="1">
      <alignment horizontal="center"/>
    </xf>
    <xf numFmtId="0" fontId="279" fillId="0" borderId="0" xfId="21"/>
    <xf numFmtId="14" fontId="279" fillId="0" borderId="0" xfId="21" applyNumberFormat="1"/>
    <xf numFmtId="0" fontId="279" fillId="0" borderId="0" xfId="19" applyNumberFormat="1" applyFont="1"/>
    <xf numFmtId="0" fontId="279" fillId="0" borderId="0" xfId="21" applyAlignment="1"/>
    <xf numFmtId="0" fontId="279" fillId="0" borderId="0" xfId="21" applyAlignment="1">
      <alignment wrapText="1"/>
    </xf>
    <xf numFmtId="0" fontId="0" fillId="0" borderId="85" xfId="0" applyBorder="1"/>
    <xf numFmtId="0" fontId="0" fillId="0" borderId="4" xfId="0" applyFill="1" applyBorder="1"/>
    <xf numFmtId="0" fontId="0" fillId="42" borderId="0" xfId="0" applyFill="1" applyProtection="1">
      <protection locked="0"/>
    </xf>
    <xf numFmtId="0" fontId="0" fillId="42" borderId="0" xfId="0" applyFill="1" applyProtection="1"/>
    <xf numFmtId="0" fontId="126" fillId="42" borderId="0" xfId="0" applyFont="1" applyFill="1" applyBorder="1" applyProtection="1"/>
    <xf numFmtId="0" fontId="126" fillId="42" borderId="0" xfId="0" applyFont="1" applyFill="1" applyAlignment="1" applyProtection="1">
      <alignment horizontal="left"/>
    </xf>
    <xf numFmtId="0" fontId="130" fillId="42" borderId="0" xfId="0" applyFont="1" applyFill="1" applyProtection="1"/>
    <xf numFmtId="0" fontId="160" fillId="42" borderId="0" xfId="0" applyFont="1" applyFill="1" applyProtection="1"/>
    <xf numFmtId="0" fontId="0" fillId="42" borderId="0" xfId="0" applyFill="1" applyBorder="1" applyAlignment="1" applyProtection="1"/>
    <xf numFmtId="0" fontId="0" fillId="42" borderId="0" xfId="0" applyFill="1" applyAlignment="1" applyProtection="1"/>
    <xf numFmtId="4" fontId="15" fillId="4" borderId="127" xfId="0" applyNumberFormat="1" applyFont="1" applyFill="1" applyBorder="1" applyAlignment="1" applyProtection="1">
      <alignment horizontal="center" vertical="center"/>
      <protection locked="0"/>
    </xf>
    <xf numFmtId="0" fontId="138" fillId="4" borderId="0" xfId="0" applyFont="1" applyFill="1" applyBorder="1" applyAlignment="1" applyProtection="1">
      <alignment horizontal="left" vertical="center"/>
    </xf>
    <xf numFmtId="0" fontId="157" fillId="11" borderId="2" xfId="0" applyFont="1" applyFill="1" applyBorder="1" applyAlignment="1" applyProtection="1">
      <alignment horizontal="center" vertical="center" wrapText="1"/>
    </xf>
    <xf numFmtId="0" fontId="157" fillId="11" borderId="49" xfId="0" applyFont="1" applyFill="1" applyBorder="1" applyAlignment="1" applyProtection="1">
      <alignment horizontal="center" vertical="center" wrapText="1"/>
    </xf>
    <xf numFmtId="0" fontId="156" fillId="4" borderId="1" xfId="0" applyFont="1" applyFill="1" applyBorder="1" applyAlignment="1" applyProtection="1">
      <alignment horizontal="center" vertical="center"/>
    </xf>
    <xf numFmtId="0" fontId="143" fillId="4" borderId="0" xfId="0" applyFont="1" applyFill="1" applyAlignment="1" applyProtection="1">
      <alignment vertical="center"/>
      <protection locked="0"/>
    </xf>
    <xf numFmtId="1" fontId="138" fillId="11" borderId="86" xfId="0" applyNumberFormat="1" applyFont="1" applyFill="1" applyBorder="1" applyAlignment="1" applyProtection="1">
      <alignment horizontal="center" vertical="center"/>
      <protection locked="0"/>
    </xf>
    <xf numFmtId="4" fontId="15" fillId="4" borderId="25" xfId="0" applyNumberFormat="1" applyFont="1" applyFill="1" applyBorder="1" applyAlignment="1" applyProtection="1">
      <alignment horizontal="right" vertical="center"/>
      <protection locked="0"/>
    </xf>
    <xf numFmtId="4" fontId="15" fillId="4" borderId="109" xfId="0" applyNumberFormat="1" applyFont="1" applyFill="1" applyBorder="1" applyAlignment="1" applyProtection="1">
      <alignment horizontal="right" vertical="center"/>
      <protection locked="0"/>
    </xf>
    <xf numFmtId="4" fontId="15" fillId="4" borderId="110" xfId="0" applyNumberFormat="1" applyFont="1" applyFill="1" applyBorder="1" applyAlignment="1" applyProtection="1">
      <alignment horizontal="right" vertical="center"/>
      <protection locked="0"/>
    </xf>
    <xf numFmtId="4" fontId="15" fillId="4" borderId="19" xfId="0" applyNumberFormat="1" applyFont="1" applyFill="1" applyBorder="1" applyAlignment="1" applyProtection="1">
      <alignment horizontal="right" vertical="center"/>
      <protection locked="0"/>
    </xf>
    <xf numFmtId="4" fontId="15" fillId="4" borderId="73" xfId="0" applyNumberFormat="1" applyFont="1" applyFill="1" applyBorder="1" applyAlignment="1" applyProtection="1">
      <alignment horizontal="right" vertical="center"/>
      <protection locked="0"/>
    </xf>
    <xf numFmtId="4" fontId="15" fillId="4" borderId="74" xfId="0" applyNumberFormat="1" applyFont="1" applyFill="1" applyBorder="1" applyAlignment="1" applyProtection="1">
      <alignment horizontal="right" vertical="center"/>
      <protection locked="0"/>
    </xf>
    <xf numFmtId="0" fontId="172" fillId="4" borderId="0" xfId="0" applyFont="1" applyFill="1" applyAlignment="1" applyProtection="1">
      <alignment vertical="center"/>
      <protection locked="0"/>
    </xf>
    <xf numFmtId="0" fontId="154" fillId="4" borderId="0" xfId="0" applyFont="1" applyFill="1" applyAlignment="1" applyProtection="1">
      <alignment vertical="center"/>
      <protection locked="0"/>
    </xf>
    <xf numFmtId="0" fontId="15" fillId="4" borderId="0" xfId="0" applyFont="1" applyFill="1" applyAlignment="1" applyProtection="1">
      <alignment horizontal="left" vertical="center"/>
      <protection locked="0"/>
    </xf>
    <xf numFmtId="0" fontId="194" fillId="4" borderId="0" xfId="0" applyFont="1" applyFill="1" applyAlignment="1" applyProtection="1">
      <alignment vertical="center"/>
      <protection locked="0"/>
    </xf>
    <xf numFmtId="0" fontId="138" fillId="4" borderId="0" xfId="0" applyFont="1" applyFill="1" applyProtection="1">
      <protection locked="0"/>
    </xf>
    <xf numFmtId="0" fontId="138" fillId="4" borderId="0" xfId="0" applyFont="1" applyFill="1" applyBorder="1" applyProtection="1">
      <protection locked="0"/>
    </xf>
    <xf numFmtId="0" fontId="138" fillId="4" borderId="44" xfId="0" applyFont="1" applyFill="1" applyBorder="1" applyProtection="1">
      <protection locked="0"/>
    </xf>
    <xf numFmtId="4" fontId="143" fillId="31" borderId="39" xfId="6" applyNumberFormat="1" applyFont="1" applyFill="1" applyBorder="1" applyAlignment="1" applyProtection="1">
      <alignment horizontal="center" vertical="center"/>
    </xf>
    <xf numFmtId="4" fontId="143" fillId="31" borderId="81" xfId="6" applyNumberFormat="1" applyFont="1" applyFill="1" applyBorder="1" applyAlignment="1" applyProtection="1">
      <alignment horizontal="center" vertical="center"/>
    </xf>
    <xf numFmtId="4" fontId="143" fillId="31" borderId="42" xfId="6" applyNumberFormat="1" applyFont="1" applyFill="1" applyBorder="1" applyAlignment="1" applyProtection="1">
      <alignment horizontal="center" vertical="center"/>
    </xf>
    <xf numFmtId="0" fontId="280" fillId="42" borderId="0" xfId="0" applyFont="1" applyFill="1" applyProtection="1">
      <protection locked="0"/>
    </xf>
    <xf numFmtId="0" fontId="0" fillId="0" borderId="0" xfId="0" applyProtection="1">
      <protection locked="0"/>
    </xf>
    <xf numFmtId="0" fontId="0" fillId="0" borderId="85" xfId="0" applyBorder="1" applyProtection="1">
      <protection locked="0"/>
    </xf>
    <xf numFmtId="0" fontId="0" fillId="0" borderId="78" xfId="0" applyBorder="1" applyProtection="1">
      <protection locked="0"/>
    </xf>
    <xf numFmtId="0" fontId="163" fillId="4" borderId="0" xfId="0" applyFont="1" applyFill="1" applyBorder="1" applyAlignment="1" applyProtection="1">
      <alignment horizontal="left" vertical="top" wrapText="1"/>
    </xf>
    <xf numFmtId="0" fontId="138" fillId="4" borderId="0" xfId="0" applyFont="1" applyFill="1" applyAlignment="1" applyProtection="1">
      <alignment horizontal="left" vertical="center" wrapText="1"/>
    </xf>
    <xf numFmtId="0" fontId="138" fillId="4" borderId="0" xfId="0" applyFont="1" applyFill="1" applyBorder="1" applyAlignment="1" applyProtection="1">
      <alignment horizontal="left" vertical="center" wrapText="1"/>
    </xf>
    <xf numFmtId="0" fontId="156" fillId="4" borderId="0" xfId="0" applyFont="1" applyFill="1" applyBorder="1" applyAlignment="1" applyProtection="1">
      <alignment horizontal="center" vertical="center"/>
    </xf>
    <xf numFmtId="0" fontId="143" fillId="4" borderId="0" xfId="0" applyFont="1" applyFill="1" applyBorder="1" applyAlignment="1" applyProtection="1">
      <alignment horizontal="center" vertical="center"/>
    </xf>
    <xf numFmtId="0" fontId="54" fillId="4" borderId="2" xfId="0"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wrapText="1"/>
    </xf>
    <xf numFmtId="0" fontId="54" fillId="4" borderId="49" xfId="0" applyFont="1" applyFill="1" applyBorder="1" applyAlignment="1" applyProtection="1">
      <alignment horizontal="center" vertical="center" wrapText="1"/>
    </xf>
    <xf numFmtId="4" fontId="15" fillId="4" borderId="19" xfId="0" applyNumberFormat="1" applyFont="1" applyFill="1" applyBorder="1" applyAlignment="1" applyProtection="1">
      <alignment horizontal="right" vertical="center"/>
    </xf>
    <xf numFmtId="4" fontId="15" fillId="4" borderId="73" xfId="0" applyNumberFormat="1" applyFont="1" applyFill="1" applyBorder="1" applyAlignment="1" applyProtection="1">
      <alignment horizontal="right" vertical="center"/>
    </xf>
    <xf numFmtId="0" fontId="146" fillId="4" borderId="0" xfId="0" applyFont="1" applyFill="1" applyAlignment="1" applyProtection="1">
      <alignment vertical="center" wrapText="1"/>
    </xf>
    <xf numFmtId="4" fontId="143" fillId="4" borderId="0" xfId="0" applyNumberFormat="1" applyFont="1" applyFill="1" applyAlignment="1" applyProtection="1">
      <alignment vertical="center"/>
    </xf>
    <xf numFmtId="0" fontId="138" fillId="4" borderId="0" xfId="0" applyFont="1" applyFill="1" applyAlignment="1" applyProtection="1">
      <alignment horizontal="center" vertical="center"/>
    </xf>
    <xf numFmtId="0" fontId="150" fillId="4" borderId="66" xfId="0" applyFont="1" applyFill="1" applyBorder="1" applyAlignment="1" applyProtection="1">
      <alignment horizontal="center" vertical="center"/>
    </xf>
    <xf numFmtId="0" fontId="150" fillId="4" borderId="13" xfId="0" applyFont="1" applyFill="1" applyBorder="1" applyAlignment="1" applyProtection="1">
      <alignment horizontal="center" vertical="center"/>
    </xf>
    <xf numFmtId="0" fontId="143" fillId="4" borderId="67" xfId="0" applyFont="1" applyFill="1" applyBorder="1" applyAlignment="1" applyProtection="1">
      <alignment vertical="center"/>
    </xf>
    <xf numFmtId="0" fontId="143" fillId="4" borderId="4" xfId="0" applyFont="1" applyFill="1" applyBorder="1" applyAlignment="1" applyProtection="1">
      <alignment vertical="center"/>
    </xf>
    <xf numFmtId="0" fontId="143" fillId="4" borderId="65" xfId="0" applyFont="1" applyFill="1" applyBorder="1" applyAlignment="1" applyProtection="1">
      <alignment vertical="center"/>
    </xf>
    <xf numFmtId="0" fontId="143" fillId="4" borderId="11" xfId="0" applyFont="1" applyFill="1" applyBorder="1" applyAlignment="1" applyProtection="1">
      <alignment vertical="center"/>
    </xf>
    <xf numFmtId="0" fontId="143" fillId="4" borderId="65" xfId="0" applyFont="1" applyFill="1" applyBorder="1" applyAlignment="1" applyProtection="1">
      <alignment horizontal="right" vertical="center"/>
    </xf>
    <xf numFmtId="0" fontId="147" fillId="4" borderId="29" xfId="0" applyFont="1" applyFill="1" applyBorder="1" applyAlignment="1" applyProtection="1">
      <alignment horizontal="center" vertical="center"/>
    </xf>
    <xf numFmtId="0" fontId="147" fillId="4" borderId="3" xfId="0" applyFont="1" applyFill="1" applyBorder="1" applyAlignment="1" applyProtection="1">
      <alignment horizontal="center" vertical="center"/>
    </xf>
    <xf numFmtId="0" fontId="143" fillId="4" borderId="30" xfId="0" applyFont="1" applyFill="1" applyBorder="1" applyAlignment="1" applyProtection="1">
      <alignment vertical="center"/>
    </xf>
    <xf numFmtId="0" fontId="147" fillId="4" borderId="11" xfId="0" applyFont="1" applyFill="1" applyBorder="1" applyAlignment="1" applyProtection="1">
      <alignment horizontal="center" vertical="center"/>
    </xf>
    <xf numFmtId="4" fontId="143" fillId="4" borderId="65" xfId="0" applyNumberFormat="1" applyFont="1" applyFill="1" applyBorder="1" applyAlignment="1" applyProtection="1">
      <alignment horizontal="right" vertical="center"/>
    </xf>
    <xf numFmtId="0" fontId="138" fillId="4" borderId="68" xfId="0" applyFont="1" applyFill="1" applyBorder="1" applyAlignment="1" applyProtection="1">
      <alignment vertical="center"/>
    </xf>
    <xf numFmtId="0" fontId="138" fillId="4" borderId="69" xfId="0" applyFont="1" applyFill="1" applyBorder="1" applyAlignment="1" applyProtection="1">
      <alignment vertical="center"/>
    </xf>
    <xf numFmtId="4" fontId="15" fillId="0" borderId="10" xfId="0" applyNumberFormat="1" applyFont="1" applyFill="1" applyBorder="1" applyAlignment="1" applyProtection="1">
      <alignment horizontal="left" vertical="center"/>
    </xf>
    <xf numFmtId="0" fontId="148" fillId="4" borderId="69" xfId="0" applyFont="1" applyFill="1" applyBorder="1" applyAlignment="1" applyProtection="1">
      <alignment horizontal="left" vertical="center" indent="3"/>
    </xf>
    <xf numFmtId="0" fontId="17" fillId="4" borderId="70" xfId="0" applyFont="1" applyFill="1" applyBorder="1" applyAlignment="1" applyProtection="1">
      <alignment horizontal="left" vertical="center" indent="3"/>
    </xf>
    <xf numFmtId="0" fontId="17" fillId="4" borderId="69" xfId="0" applyFont="1" applyFill="1" applyBorder="1" applyAlignment="1" applyProtection="1">
      <alignment horizontal="left" vertical="center" indent="3"/>
    </xf>
    <xf numFmtId="0" fontId="143" fillId="4" borderId="29" xfId="0" applyFont="1" applyFill="1" applyBorder="1" applyAlignment="1" applyProtection="1">
      <alignment vertical="center"/>
    </xf>
    <xf numFmtId="0" fontId="15" fillId="4" borderId="27" xfId="0" applyFont="1" applyFill="1" applyBorder="1" applyAlignment="1" applyProtection="1">
      <alignment vertical="center"/>
    </xf>
    <xf numFmtId="0" fontId="15" fillId="4" borderId="10" xfId="0" applyFont="1" applyFill="1" applyBorder="1" applyAlignment="1" applyProtection="1">
      <alignment vertical="center"/>
    </xf>
    <xf numFmtId="0" fontId="15" fillId="4" borderId="10" xfId="0" applyFont="1" applyFill="1" applyBorder="1" applyAlignment="1" applyProtection="1">
      <alignment horizontal="left" vertical="center"/>
    </xf>
    <xf numFmtId="4" fontId="15" fillId="0" borderId="19" xfId="0" applyNumberFormat="1" applyFont="1" applyFill="1" applyBorder="1" applyAlignment="1" applyProtection="1">
      <alignment horizontal="left" vertical="center"/>
    </xf>
    <xf numFmtId="0" fontId="17" fillId="4" borderId="10" xfId="0" applyFont="1" applyFill="1" applyBorder="1" applyAlignment="1" applyProtection="1">
      <alignment horizontal="left" vertical="center" indent="3"/>
    </xf>
    <xf numFmtId="0" fontId="17" fillId="4" borderId="28" xfId="0" applyFont="1" applyFill="1" applyBorder="1" applyAlignment="1" applyProtection="1">
      <alignment horizontal="left" vertical="center" indent="3"/>
    </xf>
    <xf numFmtId="0" fontId="15" fillId="4" borderId="27" xfId="0" applyFont="1" applyFill="1" applyBorder="1" applyAlignment="1" applyProtection="1">
      <alignment horizontal="left" vertical="center"/>
    </xf>
    <xf numFmtId="0" fontId="138" fillId="4" borderId="27" xfId="0" applyFont="1" applyFill="1" applyBorder="1" applyAlignment="1" applyProtection="1">
      <alignment horizontal="left" vertical="center"/>
    </xf>
    <xf numFmtId="0" fontId="138" fillId="4" borderId="10" xfId="0" applyFont="1" applyFill="1" applyBorder="1" applyAlignment="1" applyProtection="1">
      <alignment horizontal="left" vertical="center"/>
    </xf>
    <xf numFmtId="0" fontId="145" fillId="4" borderId="28" xfId="0" applyFont="1" applyFill="1" applyBorder="1" applyAlignment="1" applyProtection="1">
      <alignment horizontal="left" vertical="center"/>
    </xf>
    <xf numFmtId="4" fontId="145" fillId="4" borderId="71" xfId="0" applyNumberFormat="1" applyFont="1" applyFill="1" applyBorder="1" applyAlignment="1" applyProtection="1">
      <alignment horizontal="right" vertical="center"/>
    </xf>
    <xf numFmtId="0" fontId="148" fillId="4" borderId="11" xfId="0" applyFont="1" applyFill="1" applyBorder="1" applyAlignment="1" applyProtection="1">
      <alignment horizontal="left" vertical="center" indent="3"/>
    </xf>
    <xf numFmtId="4" fontId="13" fillId="4" borderId="65" xfId="0" applyNumberFormat="1" applyFont="1" applyFill="1" applyBorder="1" applyAlignment="1" applyProtection="1">
      <alignment horizontal="right" vertical="center"/>
    </xf>
    <xf numFmtId="0" fontId="147" fillId="4" borderId="30" xfId="0" applyFont="1" applyFill="1" applyBorder="1" applyAlignment="1" applyProtection="1">
      <alignment horizontal="center" vertical="center"/>
    </xf>
    <xf numFmtId="0" fontId="15" fillId="4" borderId="69" xfId="0" applyFont="1" applyFill="1" applyBorder="1" applyAlignment="1" applyProtection="1">
      <alignment vertical="center"/>
    </xf>
    <xf numFmtId="0" fontId="15" fillId="4" borderId="29" xfId="0" applyFont="1" applyFill="1" applyBorder="1" applyAlignment="1" applyProtection="1">
      <alignment horizontal="left" vertical="center"/>
    </xf>
    <xf numFmtId="0" fontId="22" fillId="4" borderId="29" xfId="0" applyFont="1" applyFill="1" applyBorder="1" applyAlignment="1" applyProtection="1">
      <alignment horizontal="center" vertical="center"/>
    </xf>
    <xf numFmtId="0" fontId="15" fillId="4" borderId="68" xfId="0" applyFont="1" applyFill="1" applyBorder="1" applyAlignment="1" applyProtection="1">
      <alignment horizontal="left" vertical="center"/>
    </xf>
    <xf numFmtId="0" fontId="15" fillId="4" borderId="69" xfId="0" applyFont="1" applyFill="1" applyBorder="1" applyAlignment="1" applyProtection="1">
      <alignment horizontal="left" vertical="center"/>
    </xf>
    <xf numFmtId="0" fontId="149" fillId="4" borderId="29" xfId="0" applyFont="1" applyFill="1" applyBorder="1" applyAlignment="1" applyProtection="1">
      <alignment vertical="center"/>
    </xf>
    <xf numFmtId="0" fontId="206" fillId="4" borderId="199" xfId="0" applyFont="1" applyFill="1" applyBorder="1" applyAlignment="1" applyProtection="1">
      <alignment horizontal="right" vertical="center"/>
    </xf>
    <xf numFmtId="4" fontId="206" fillId="4" borderId="200" xfId="0" applyNumberFormat="1" applyFont="1" applyFill="1" applyBorder="1" applyAlignment="1" applyProtection="1">
      <alignment horizontal="right" vertical="center"/>
    </xf>
    <xf numFmtId="4" fontId="206" fillId="4" borderId="201" xfId="0" applyNumberFormat="1" applyFont="1" applyFill="1" applyBorder="1" applyAlignment="1" applyProtection="1">
      <alignment vertical="center"/>
    </xf>
    <xf numFmtId="0" fontId="206" fillId="4" borderId="202" xfId="0" applyFont="1" applyFill="1" applyBorder="1" applyAlignment="1" applyProtection="1">
      <alignment horizontal="right" vertical="center"/>
    </xf>
    <xf numFmtId="4" fontId="206" fillId="4" borderId="202" xfId="0" applyNumberFormat="1" applyFont="1" applyFill="1" applyBorder="1" applyAlignment="1" applyProtection="1">
      <alignment horizontal="right" vertical="center"/>
    </xf>
    <xf numFmtId="4" fontId="206" fillId="4" borderId="203" xfId="0" applyNumberFormat="1" applyFont="1" applyFill="1" applyBorder="1" applyAlignment="1" applyProtection="1">
      <alignment vertical="center"/>
    </xf>
    <xf numFmtId="0" fontId="138" fillId="4" borderId="10" xfId="0" applyFont="1" applyFill="1" applyBorder="1" applyAlignment="1" applyProtection="1">
      <alignment vertical="center"/>
    </xf>
    <xf numFmtId="0" fontId="15" fillId="4" borderId="11" xfId="0" applyFont="1" applyFill="1" applyBorder="1" applyAlignment="1" applyProtection="1">
      <alignment vertical="center"/>
    </xf>
    <xf numFmtId="0" fontId="15" fillId="4" borderId="11" xfId="0" applyFont="1" applyFill="1" applyBorder="1" applyAlignment="1" applyProtection="1">
      <alignment horizontal="left" vertical="center"/>
    </xf>
    <xf numFmtId="0" fontId="20" fillId="4" borderId="11" xfId="0" applyFont="1" applyFill="1" applyBorder="1" applyAlignment="1" applyProtection="1">
      <alignment horizontal="center" vertical="center"/>
    </xf>
    <xf numFmtId="0" fontId="143" fillId="4" borderId="28" xfId="0" applyFont="1" applyFill="1" applyBorder="1" applyAlignment="1" applyProtection="1">
      <alignment vertical="center"/>
    </xf>
    <xf numFmtId="0" fontId="138" fillId="4" borderId="11" xfId="0" applyFont="1" applyFill="1" applyBorder="1" applyAlignment="1" applyProtection="1">
      <alignment horizontal="left" vertical="center"/>
    </xf>
    <xf numFmtId="0" fontId="138" fillId="4" borderId="11" xfId="0" applyFont="1" applyFill="1" applyBorder="1" applyAlignment="1" applyProtection="1">
      <alignment vertical="center"/>
    </xf>
    <xf numFmtId="0" fontId="205" fillId="4" borderId="0" xfId="0" applyFont="1" applyFill="1" applyAlignment="1" applyProtection="1">
      <alignment vertical="center"/>
    </xf>
    <xf numFmtId="0" fontId="138" fillId="4" borderId="19" xfId="0" applyFont="1" applyFill="1" applyBorder="1" applyAlignment="1" applyProtection="1">
      <alignment vertical="center"/>
    </xf>
    <xf numFmtId="0" fontId="138" fillId="4" borderId="73" xfId="0" applyFont="1" applyFill="1" applyBorder="1" applyAlignment="1" applyProtection="1">
      <alignment vertical="center"/>
    </xf>
    <xf numFmtId="0" fontId="15" fillId="4" borderId="3" xfId="0"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4" fontId="15" fillId="12" borderId="19" xfId="0" applyNumberFormat="1" applyFont="1" applyFill="1" applyBorder="1" applyAlignment="1" applyProtection="1">
      <alignment horizontal="left" vertical="center"/>
    </xf>
    <xf numFmtId="4" fontId="15" fillId="4" borderId="65" xfId="0" applyNumberFormat="1" applyFont="1" applyFill="1" applyBorder="1" applyAlignment="1" applyProtection="1">
      <alignment vertical="center"/>
    </xf>
    <xf numFmtId="4" fontId="15" fillId="4" borderId="65" xfId="0" applyNumberFormat="1" applyFont="1" applyFill="1" applyBorder="1" applyAlignment="1" applyProtection="1">
      <alignment horizontal="left" vertical="center"/>
    </xf>
    <xf numFmtId="4" fontId="19" fillId="4" borderId="65" xfId="0" applyNumberFormat="1" applyFont="1" applyFill="1" applyBorder="1" applyAlignment="1" applyProtection="1">
      <alignment horizontal="left" vertical="center"/>
    </xf>
    <xf numFmtId="0" fontId="15" fillId="4" borderId="30" xfId="0" applyFont="1" applyFill="1" applyBorder="1" applyAlignment="1" applyProtection="1">
      <alignment horizontal="left" vertical="center"/>
    </xf>
    <xf numFmtId="0" fontId="22" fillId="4" borderId="3" xfId="0" applyFont="1" applyFill="1" applyBorder="1" applyAlignment="1" applyProtection="1">
      <alignment horizontal="center" vertical="center"/>
    </xf>
    <xf numFmtId="0" fontId="22" fillId="4" borderId="30" xfId="0" applyFont="1" applyFill="1" applyBorder="1" applyAlignment="1" applyProtection="1">
      <alignment horizontal="center" vertical="center"/>
    </xf>
    <xf numFmtId="4" fontId="143" fillId="4" borderId="71" xfId="0" applyNumberFormat="1" applyFont="1" applyFill="1" applyBorder="1" applyAlignment="1" applyProtection="1">
      <alignment vertical="center"/>
    </xf>
    <xf numFmtId="4" fontId="143" fillId="4" borderId="65" xfId="0" applyNumberFormat="1" applyFont="1" applyFill="1" applyBorder="1" applyAlignment="1" applyProtection="1">
      <alignment vertical="center"/>
    </xf>
    <xf numFmtId="0" fontId="149" fillId="4" borderId="3" xfId="0" applyFont="1" applyFill="1" applyBorder="1" applyAlignment="1" applyProtection="1">
      <alignment vertical="center"/>
    </xf>
    <xf numFmtId="0" fontId="149" fillId="4" borderId="30" xfId="0" applyFont="1" applyFill="1" applyBorder="1" applyAlignment="1" applyProtection="1">
      <alignment vertical="center"/>
    </xf>
    <xf numFmtId="0" fontId="138" fillId="4" borderId="65" xfId="0" applyFont="1" applyFill="1" applyBorder="1" applyAlignment="1" applyProtection="1">
      <alignment horizontal="right" vertical="center"/>
    </xf>
    <xf numFmtId="0" fontId="138" fillId="4" borderId="65" xfId="0" applyFont="1" applyFill="1" applyBorder="1" applyAlignment="1" applyProtection="1">
      <alignment vertical="center"/>
    </xf>
    <xf numFmtId="0" fontId="143" fillId="4" borderId="124" xfId="0" applyFont="1" applyFill="1" applyBorder="1" applyAlignment="1" applyProtection="1">
      <alignment vertical="center"/>
    </xf>
    <xf numFmtId="0" fontId="143" fillId="4" borderId="0" xfId="0" quotePrefix="1" applyFont="1" applyFill="1" applyAlignment="1" applyProtection="1">
      <alignment vertical="center"/>
      <protection locked="0"/>
    </xf>
    <xf numFmtId="0" fontId="207" fillId="4" borderId="0" xfId="0" applyFont="1" applyFill="1" applyBorder="1" applyAlignment="1" applyProtection="1">
      <alignment vertical="center"/>
    </xf>
    <xf numFmtId="1" fontId="217" fillId="4" borderId="224" xfId="0" applyNumberFormat="1" applyFont="1" applyFill="1" applyBorder="1" applyAlignment="1" applyProtection="1">
      <alignment horizontal="center" vertical="center"/>
    </xf>
    <xf numFmtId="0" fontId="138" fillId="4" borderId="300" xfId="0" applyFont="1" applyFill="1" applyBorder="1" applyAlignment="1" applyProtection="1">
      <alignment horizontal="center" vertical="center"/>
    </xf>
    <xf numFmtId="0" fontId="138" fillId="4" borderId="300" xfId="0" applyFont="1" applyFill="1" applyBorder="1" applyProtection="1"/>
    <xf numFmtId="0" fontId="138" fillId="4" borderId="125" xfId="0" applyFont="1" applyFill="1" applyBorder="1" applyAlignment="1" applyProtection="1">
      <alignment horizontal="left" vertical="center" wrapText="1"/>
    </xf>
    <xf numFmtId="0" fontId="138" fillId="4" borderId="126" xfId="0" applyFont="1" applyFill="1" applyBorder="1" applyAlignment="1" applyProtection="1">
      <alignment horizontal="left" vertical="center" wrapText="1"/>
    </xf>
    <xf numFmtId="4" fontId="218" fillId="4" borderId="127" xfId="0" applyNumberFormat="1" applyFont="1" applyFill="1" applyBorder="1" applyAlignment="1" applyProtection="1">
      <alignment horizontal="center" vertical="center"/>
    </xf>
    <xf numFmtId="0" fontId="138" fillId="4" borderId="125" xfId="0" applyFont="1" applyFill="1" applyBorder="1" applyProtection="1"/>
    <xf numFmtId="0" fontId="138" fillId="4" borderId="126" xfId="0" applyFont="1" applyFill="1" applyBorder="1" applyProtection="1"/>
    <xf numFmtId="0" fontId="218" fillId="4" borderId="127" xfId="0" applyFont="1" applyFill="1" applyBorder="1" applyProtection="1"/>
    <xf numFmtId="0" fontId="138" fillId="4" borderId="125" xfId="0" quotePrefix="1" applyFont="1" applyFill="1" applyBorder="1" applyAlignment="1" applyProtection="1">
      <alignment horizontal="left" vertical="center" wrapText="1"/>
    </xf>
    <xf numFmtId="4" fontId="149" fillId="4" borderId="127" xfId="0" applyNumberFormat="1" applyFont="1" applyFill="1" applyBorder="1" applyAlignment="1" applyProtection="1">
      <alignment horizontal="center" vertical="center"/>
    </xf>
    <xf numFmtId="0" fontId="138" fillId="4" borderId="4" xfId="0" quotePrefix="1" applyFont="1" applyFill="1" applyBorder="1" applyAlignment="1" applyProtection="1">
      <alignment horizontal="left" vertical="center" wrapText="1"/>
    </xf>
    <xf numFmtId="0" fontId="138" fillId="4" borderId="4" xfId="0" applyFont="1" applyFill="1" applyBorder="1" applyProtection="1"/>
    <xf numFmtId="0" fontId="138" fillId="4" borderId="127" xfId="0" applyFont="1" applyFill="1" applyBorder="1" applyAlignment="1" applyProtection="1">
      <alignment horizontal="left" vertical="center"/>
    </xf>
    <xf numFmtId="0" fontId="138" fillId="4" borderId="125" xfId="0" applyFont="1" applyFill="1" applyBorder="1" applyAlignment="1" applyProtection="1">
      <alignment horizontal="left" vertical="center"/>
    </xf>
    <xf numFmtId="0" fontId="138" fillId="4" borderId="126" xfId="0" applyFont="1" applyFill="1" applyBorder="1" applyAlignment="1" applyProtection="1">
      <alignment horizontal="left" vertical="center"/>
    </xf>
    <xf numFmtId="0" fontId="149" fillId="4" borderId="125" xfId="0" applyFont="1" applyFill="1" applyBorder="1" applyAlignment="1" applyProtection="1">
      <alignment horizontal="left" vertical="center" wrapText="1"/>
    </xf>
    <xf numFmtId="0" fontId="149" fillId="4" borderId="0" xfId="0" applyFont="1" applyFill="1" applyBorder="1" applyAlignment="1" applyProtection="1">
      <alignment horizontal="left" vertical="center" wrapText="1"/>
    </xf>
    <xf numFmtId="0" fontId="149" fillId="4" borderId="126" xfId="0" applyFont="1" applyFill="1" applyBorder="1" applyAlignment="1" applyProtection="1">
      <alignment horizontal="left" vertical="center" wrapText="1"/>
    </xf>
    <xf numFmtId="4" fontId="218" fillId="4" borderId="127" xfId="0" applyNumberFormat="1" applyFont="1" applyFill="1" applyBorder="1" applyAlignment="1" applyProtection="1">
      <alignment horizontal="center"/>
    </xf>
    <xf numFmtId="0" fontId="218" fillId="4" borderId="4" xfId="0" applyFont="1" applyFill="1" applyBorder="1" applyProtection="1"/>
    <xf numFmtId="0" fontId="218" fillId="4" borderId="3" xfId="0" applyFont="1" applyFill="1" applyBorder="1" applyProtection="1"/>
    <xf numFmtId="4" fontId="218" fillId="4" borderId="127" xfId="0" applyNumberFormat="1" applyFont="1" applyFill="1" applyBorder="1" applyProtection="1"/>
    <xf numFmtId="165" fontId="143" fillId="7" borderId="38" xfId="0" applyNumberFormat="1" applyFont="1" applyFill="1" applyBorder="1" applyAlignment="1" applyProtection="1">
      <alignment horizontal="center" vertical="center"/>
    </xf>
    <xf numFmtId="165" fontId="143" fillId="7" borderId="61" xfId="0" applyNumberFormat="1" applyFont="1" applyFill="1" applyBorder="1" applyAlignment="1" applyProtection="1">
      <alignment horizontal="center" vertical="center"/>
    </xf>
    <xf numFmtId="165" fontId="143" fillId="7" borderId="41" xfId="0" applyNumberFormat="1" applyFont="1" applyFill="1" applyBorder="1" applyAlignment="1" applyProtection="1">
      <alignment horizontal="center" vertical="center"/>
    </xf>
    <xf numFmtId="0" fontId="143" fillId="4" borderId="39" xfId="0" applyFont="1" applyFill="1" applyBorder="1" applyAlignment="1" applyProtection="1">
      <alignment horizontal="center" vertical="center"/>
    </xf>
    <xf numFmtId="0" fontId="143" fillId="4" borderId="52" xfId="0" applyFont="1" applyFill="1" applyBorder="1" applyAlignment="1" applyProtection="1">
      <alignment horizontal="center" vertical="center"/>
    </xf>
    <xf numFmtId="0" fontId="143" fillId="4" borderId="41" xfId="0" applyFont="1" applyFill="1" applyBorder="1" applyAlignment="1" applyProtection="1">
      <alignment horizontal="center" vertical="center"/>
    </xf>
    <xf numFmtId="0" fontId="143" fillId="4" borderId="43" xfId="0" applyFont="1" applyFill="1" applyBorder="1" applyAlignment="1" applyProtection="1">
      <alignment horizontal="center" vertical="center"/>
    </xf>
    <xf numFmtId="0" fontId="143" fillId="4" borderId="38" xfId="0" applyFont="1" applyFill="1" applyBorder="1" applyAlignment="1" applyProtection="1">
      <alignment horizontal="center" vertical="center"/>
    </xf>
    <xf numFmtId="0" fontId="143" fillId="4" borderId="57" xfId="0" applyFont="1" applyFill="1" applyBorder="1" applyAlignment="1" applyProtection="1">
      <alignment horizontal="center" vertical="center"/>
    </xf>
    <xf numFmtId="3" fontId="109" fillId="0" borderId="12" xfId="10" applyNumberFormat="1" applyFont="1" applyBorder="1" applyAlignment="1" applyProtection="1">
      <alignment vertical="center"/>
    </xf>
    <xf numFmtId="0" fontId="1" fillId="0" borderId="0" xfId="10" applyFont="1" applyProtection="1"/>
    <xf numFmtId="0" fontId="268" fillId="0" borderId="0" xfId="10" applyFont="1" applyProtection="1"/>
    <xf numFmtId="0" fontId="1" fillId="0" borderId="8" xfId="10" applyFont="1" applyFill="1" applyBorder="1" applyAlignment="1" applyProtection="1">
      <alignment horizontal="center" vertical="center" wrapText="1"/>
    </xf>
    <xf numFmtId="0" fontId="272" fillId="0" borderId="0" xfId="10" applyFont="1" applyBorder="1" applyAlignment="1" applyProtection="1">
      <alignment horizontal="left"/>
    </xf>
    <xf numFmtId="0" fontId="1" fillId="0" borderId="0" xfId="10" applyFont="1" applyBorder="1" applyAlignment="1" applyProtection="1">
      <alignment vertical="center"/>
    </xf>
    <xf numFmtId="0" fontId="1" fillId="0" borderId="12" xfId="10" applyFont="1" applyBorder="1" applyAlignment="1" applyProtection="1">
      <alignment vertical="center"/>
    </xf>
    <xf numFmtId="3" fontId="1" fillId="0" borderId="12" xfId="10" applyNumberFormat="1" applyFont="1" applyBorder="1" applyAlignment="1" applyProtection="1">
      <alignment vertical="center"/>
    </xf>
    <xf numFmtId="3" fontId="1" fillId="0" borderId="21" xfId="10" applyNumberFormat="1" applyFont="1" applyBorder="1" applyAlignment="1" applyProtection="1">
      <alignment vertical="center"/>
    </xf>
    <xf numFmtId="3" fontId="1" fillId="0" borderId="90" xfId="10" applyNumberFormat="1" applyFont="1" applyBorder="1" applyAlignment="1" applyProtection="1">
      <alignment vertical="center"/>
    </xf>
    <xf numFmtId="0" fontId="109" fillId="0" borderId="0" xfId="5" applyFont="1" applyProtection="1"/>
    <xf numFmtId="0" fontId="1" fillId="0" borderId="0" xfId="5" applyFont="1" applyProtection="1"/>
    <xf numFmtId="0" fontId="109" fillId="0" borderId="0" xfId="5" applyFont="1" applyAlignment="1" applyProtection="1">
      <alignment horizontal="right"/>
    </xf>
    <xf numFmtId="0" fontId="1" fillId="0" borderId="0" xfId="16" applyFont="1" applyProtection="1"/>
    <xf numFmtId="0" fontId="268" fillId="0" borderId="0" xfId="16" applyFont="1" applyProtection="1"/>
    <xf numFmtId="0" fontId="109" fillId="0" borderId="0" xfId="16" applyFont="1" applyBorder="1" applyAlignment="1" applyProtection="1">
      <alignment horizontal="center" vertical="center" wrapText="1"/>
    </xf>
    <xf numFmtId="0" fontId="109" fillId="0" borderId="0" xfId="16" applyFont="1" applyFill="1" applyBorder="1" applyAlignment="1" applyProtection="1">
      <alignment horizontal="center" vertical="center" wrapText="1"/>
    </xf>
    <xf numFmtId="0" fontId="277" fillId="0" borderId="1" xfId="16" applyFont="1" applyFill="1" applyBorder="1" applyAlignment="1" applyProtection="1">
      <alignment horizontal="center" vertical="center" wrapText="1"/>
    </xf>
    <xf numFmtId="0" fontId="109" fillId="3" borderId="306" xfId="16" applyFont="1" applyFill="1" applyBorder="1" applyAlignment="1" applyProtection="1">
      <alignment vertical="center"/>
    </xf>
    <xf numFmtId="3" fontId="109" fillId="3" borderId="307" xfId="16" applyNumberFormat="1" applyFont="1" applyFill="1" applyBorder="1" applyAlignment="1" applyProtection="1">
      <alignment vertical="center"/>
    </xf>
    <xf numFmtId="3" fontId="109" fillId="3" borderId="308" xfId="16" applyNumberFormat="1" applyFont="1" applyFill="1" applyBorder="1" applyAlignment="1" applyProtection="1">
      <alignment vertical="center"/>
    </xf>
    <xf numFmtId="0" fontId="132" fillId="42" borderId="0" xfId="0" applyFont="1" applyFill="1" applyAlignment="1" applyProtection="1">
      <alignment horizontal="center" vertical="center"/>
    </xf>
    <xf numFmtId="0" fontId="0" fillId="0" borderId="0" xfId="0"/>
    <xf numFmtId="0" fontId="269" fillId="4" borderId="0" xfId="0" applyFont="1" applyFill="1" applyBorder="1" applyAlignment="1">
      <alignment horizontal="center" vertical="center" wrapText="1"/>
    </xf>
    <xf numFmtId="0" fontId="279" fillId="0" borderId="0" xfId="21" applyFill="1"/>
    <xf numFmtId="0" fontId="126" fillId="9" borderId="21" xfId="0" applyFont="1" applyFill="1" applyBorder="1" applyAlignment="1">
      <alignment horizontal="center" vertical="center" wrapText="1"/>
    </xf>
    <xf numFmtId="0" fontId="126" fillId="9" borderId="89" xfId="0" applyFont="1" applyFill="1" applyBorder="1" applyAlignment="1">
      <alignment horizontal="center" vertical="center" wrapText="1"/>
    </xf>
    <xf numFmtId="0" fontId="126" fillId="8" borderId="90" xfId="0" applyFont="1" applyFill="1" applyBorder="1" applyAlignment="1">
      <alignment horizontal="center" vertical="center" wrapText="1"/>
    </xf>
    <xf numFmtId="0" fontId="126" fillId="8" borderId="21" xfId="0" applyFont="1" applyFill="1" applyBorder="1" applyAlignment="1">
      <alignment horizontal="center" vertical="center" wrapText="1"/>
    </xf>
    <xf numFmtId="0" fontId="126" fillId="10" borderId="0" xfId="0" applyFont="1" applyFill="1" applyBorder="1" applyAlignment="1">
      <alignment horizontal="center" vertical="center"/>
    </xf>
    <xf numFmtId="0" fontId="126" fillId="10" borderId="36" xfId="0" applyFont="1" applyFill="1" applyBorder="1" applyAlignment="1">
      <alignment horizontal="center" vertical="center"/>
    </xf>
    <xf numFmtId="0" fontId="156" fillId="4" borderId="0" xfId="0" applyFont="1" applyFill="1" applyAlignment="1" applyProtection="1">
      <alignment horizontal="left" vertical="top" wrapText="1"/>
    </xf>
    <xf numFmtId="0" fontId="219" fillId="4" borderId="0" xfId="0" applyFont="1" applyFill="1" applyAlignment="1" applyProtection="1">
      <alignment horizontal="left" vertical="top" wrapText="1"/>
    </xf>
    <xf numFmtId="0" fontId="19" fillId="4" borderId="0" xfId="0" applyFont="1" applyFill="1" applyAlignment="1" applyProtection="1">
      <alignment horizontal="left" vertical="top" wrapText="1"/>
    </xf>
    <xf numFmtId="0" fontId="139" fillId="4" borderId="0" xfId="0" applyFont="1" applyFill="1" applyAlignment="1" applyProtection="1">
      <alignment horizontal="left" vertical="top" wrapText="1"/>
    </xf>
    <xf numFmtId="0" fontId="230" fillId="4" borderId="0" xfId="0" applyFont="1" applyFill="1" applyAlignment="1" applyProtection="1">
      <alignment horizontal="left" vertical="top" wrapText="1"/>
    </xf>
    <xf numFmtId="0" fontId="19" fillId="4" borderId="0" xfId="0" applyFont="1" applyFill="1" applyAlignment="1" applyProtection="1">
      <alignment horizontal="left" vertical="center" wrapText="1"/>
    </xf>
    <xf numFmtId="0" fontId="126" fillId="42" borderId="0" xfId="0" applyFont="1" applyFill="1" applyAlignment="1" applyProtection="1">
      <alignment horizontal="left"/>
    </xf>
    <xf numFmtId="172" fontId="133" fillId="40" borderId="60" xfId="2" applyNumberFormat="1" applyFont="1" applyFill="1" applyBorder="1" applyAlignment="1" applyProtection="1">
      <alignment horizontal="center" vertical="center"/>
    </xf>
    <xf numFmtId="172" fontId="133" fillId="40" borderId="59" xfId="2" applyNumberFormat="1" applyFont="1" applyFill="1" applyBorder="1" applyAlignment="1" applyProtection="1">
      <alignment horizontal="center" vertical="center"/>
    </xf>
    <xf numFmtId="172" fontId="133" fillId="40" borderId="303" xfId="2" applyNumberFormat="1" applyFont="1" applyFill="1" applyBorder="1" applyAlignment="1" applyProtection="1">
      <alignment horizontal="center" vertical="center"/>
    </xf>
    <xf numFmtId="14" fontId="133" fillId="40" borderId="60" xfId="2" applyNumberFormat="1" applyFont="1" applyFill="1" applyBorder="1" applyAlignment="1" applyProtection="1">
      <alignment horizontal="center" vertical="center"/>
      <protection locked="0"/>
    </xf>
    <xf numFmtId="14" fontId="133" fillId="40" borderId="59" xfId="2" applyNumberFormat="1" applyFont="1" applyFill="1" applyBorder="1" applyAlignment="1" applyProtection="1">
      <alignment horizontal="center" vertical="center"/>
      <protection locked="0"/>
    </xf>
    <xf numFmtId="14" fontId="133" fillId="40" borderId="303" xfId="2" applyNumberFormat="1" applyFont="1" applyFill="1" applyBorder="1" applyAlignment="1" applyProtection="1">
      <alignment horizontal="center" vertical="center"/>
      <protection locked="0"/>
    </xf>
    <xf numFmtId="175" fontId="133" fillId="40" borderId="60" xfId="2" applyNumberFormat="1" applyFont="1" applyFill="1" applyBorder="1" applyAlignment="1" applyProtection="1">
      <alignment horizontal="center" vertical="center"/>
      <protection locked="0"/>
    </xf>
    <xf numFmtId="175" fontId="133" fillId="40" borderId="59" xfId="2" applyNumberFormat="1" applyFont="1" applyFill="1" applyBorder="1" applyAlignment="1" applyProtection="1">
      <alignment horizontal="center" vertical="center"/>
      <protection locked="0"/>
    </xf>
    <xf numFmtId="175" fontId="133" fillId="40" borderId="303" xfId="2" applyNumberFormat="1" applyFont="1" applyFill="1" applyBorder="1" applyAlignment="1" applyProtection="1">
      <alignment horizontal="center" vertical="center"/>
      <protection locked="0"/>
    </xf>
    <xf numFmtId="172" fontId="133" fillId="40" borderId="60" xfId="2" applyNumberFormat="1" applyFont="1" applyFill="1" applyBorder="1" applyAlignment="1" applyProtection="1">
      <alignment horizontal="center" vertical="center"/>
      <protection locked="0"/>
    </xf>
    <xf numFmtId="172" fontId="133" fillId="40" borderId="59" xfId="2" applyNumberFormat="1" applyFont="1" applyFill="1" applyBorder="1" applyAlignment="1" applyProtection="1">
      <alignment horizontal="center" vertical="center"/>
      <protection locked="0"/>
    </xf>
    <xf numFmtId="172" fontId="133" fillId="40" borderId="303" xfId="2" applyNumberFormat="1" applyFont="1" applyFill="1" applyBorder="1" applyAlignment="1" applyProtection="1">
      <alignment horizontal="center" vertical="center"/>
      <protection locked="0"/>
    </xf>
    <xf numFmtId="49" fontId="125" fillId="40" borderId="60" xfId="1" applyNumberFormat="1" applyFill="1" applyBorder="1" applyAlignment="1" applyProtection="1">
      <alignment horizontal="center" vertical="center"/>
      <protection locked="0"/>
    </xf>
    <xf numFmtId="49" fontId="133" fillId="40" borderId="59" xfId="2" applyNumberFormat="1" applyFont="1" applyFill="1" applyBorder="1" applyAlignment="1" applyProtection="1">
      <alignment horizontal="center" vertical="center"/>
      <protection locked="0"/>
    </xf>
    <xf numFmtId="49" fontId="133" fillId="40" borderId="303" xfId="2" applyNumberFormat="1" applyFont="1" applyFill="1" applyBorder="1" applyAlignment="1" applyProtection="1">
      <alignment horizontal="center" vertical="center"/>
      <protection locked="0"/>
    </xf>
    <xf numFmtId="165" fontId="133" fillId="40" borderId="60" xfId="2" applyNumberFormat="1" applyFont="1" applyFill="1" applyBorder="1" applyAlignment="1" applyProtection="1">
      <alignment horizontal="center" vertical="center"/>
      <protection locked="0"/>
    </xf>
    <xf numFmtId="165" fontId="133" fillId="40" borderId="59" xfId="2" applyNumberFormat="1" applyFont="1" applyFill="1" applyBorder="1" applyAlignment="1" applyProtection="1">
      <alignment horizontal="center" vertical="center"/>
      <protection locked="0"/>
    </xf>
    <xf numFmtId="165" fontId="133" fillId="40" borderId="303" xfId="2" applyNumberFormat="1" applyFont="1" applyFill="1" applyBorder="1" applyAlignment="1" applyProtection="1">
      <alignment horizontal="center" vertical="center"/>
      <protection locked="0"/>
    </xf>
    <xf numFmtId="0" fontId="126" fillId="42" borderId="34" xfId="0" applyFont="1" applyFill="1" applyBorder="1" applyAlignment="1" applyProtection="1">
      <alignment horizontal="right"/>
    </xf>
    <xf numFmtId="0" fontId="126" fillId="42" borderId="0" xfId="0" applyFont="1" applyFill="1" applyAlignment="1" applyProtection="1">
      <alignment horizontal="right"/>
    </xf>
    <xf numFmtId="0" fontId="126" fillId="42" borderId="30" xfId="0" applyFont="1" applyFill="1" applyBorder="1" applyAlignment="1" applyProtection="1">
      <alignment horizontal="left"/>
    </xf>
    <xf numFmtId="0" fontId="133" fillId="40" borderId="60" xfId="2" applyNumberFormat="1" applyFont="1" applyFill="1" applyBorder="1" applyAlignment="1" applyProtection="1">
      <alignment horizontal="center" vertical="center"/>
      <protection locked="0"/>
    </xf>
    <xf numFmtId="0" fontId="133" fillId="40" borderId="59" xfId="2" applyNumberFormat="1" applyFont="1" applyFill="1" applyBorder="1" applyAlignment="1" applyProtection="1">
      <alignment horizontal="center" vertical="center"/>
      <protection locked="0"/>
    </xf>
    <xf numFmtId="0" fontId="133" fillId="40" borderId="303" xfId="2" applyNumberFormat="1" applyFont="1" applyFill="1" applyBorder="1" applyAlignment="1" applyProtection="1">
      <alignment horizontal="center" vertical="center"/>
      <protection locked="0"/>
    </xf>
    <xf numFmtId="0" fontId="126" fillId="42" borderId="0" xfId="0" applyFont="1" applyFill="1" applyAlignment="1" applyProtection="1">
      <alignment horizontal="left" wrapText="1"/>
    </xf>
    <xf numFmtId="172" fontId="133" fillId="40" borderId="120" xfId="2" applyNumberFormat="1" applyFont="1" applyFill="1" applyBorder="1" applyAlignment="1" applyProtection="1">
      <alignment horizontal="center" vertical="center"/>
    </xf>
    <xf numFmtId="172" fontId="133" fillId="40" borderId="72" xfId="2" applyNumberFormat="1" applyFont="1" applyFill="1" applyBorder="1" applyAlignment="1" applyProtection="1">
      <alignment horizontal="center" vertical="center"/>
    </xf>
    <xf numFmtId="172" fontId="133" fillId="40" borderId="88" xfId="2" applyNumberFormat="1" applyFont="1" applyFill="1" applyBorder="1" applyAlignment="1" applyProtection="1">
      <alignment horizontal="center" vertical="center"/>
    </xf>
    <xf numFmtId="172" fontId="133" fillId="40" borderId="35" xfId="2" applyNumberFormat="1" applyFont="1" applyFill="1" applyBorder="1" applyAlignment="1" applyProtection="1">
      <alignment horizontal="center" vertical="center"/>
    </xf>
    <xf numFmtId="172" fontId="133" fillId="40" borderId="36" xfId="2" applyNumberFormat="1" applyFont="1" applyFill="1" applyBorder="1" applyAlignment="1" applyProtection="1">
      <alignment horizontal="center" vertical="center"/>
    </xf>
    <xf numFmtId="172" fontId="133" fillId="40" borderId="37" xfId="2" applyNumberFormat="1" applyFont="1" applyFill="1" applyBorder="1" applyAlignment="1" applyProtection="1">
      <alignment horizontal="center" vertical="center"/>
    </xf>
    <xf numFmtId="0" fontId="143" fillId="4" borderId="0" xfId="0" applyFont="1" applyFill="1" applyBorder="1" applyAlignment="1" applyProtection="1">
      <alignment horizontal="left" vertical="center"/>
    </xf>
    <xf numFmtId="0" fontId="217" fillId="4" borderId="0" xfId="0" applyFont="1" applyFill="1" applyBorder="1" applyAlignment="1" applyProtection="1">
      <alignment horizontal="right" vertical="center"/>
    </xf>
    <xf numFmtId="0" fontId="57" fillId="4" borderId="243" xfId="0" applyFont="1" applyFill="1" applyBorder="1" applyAlignment="1" applyProtection="1">
      <alignment horizontal="left" vertical="top" wrapText="1"/>
    </xf>
    <xf numFmtId="0" fontId="163" fillId="4" borderId="244" xfId="0" applyFont="1" applyFill="1" applyBorder="1" applyAlignment="1" applyProtection="1">
      <alignment horizontal="left" vertical="top" wrapText="1"/>
    </xf>
    <xf numFmtId="0" fontId="163" fillId="4" borderId="245" xfId="0" applyFont="1" applyFill="1" applyBorder="1" applyAlignment="1" applyProtection="1">
      <alignment horizontal="left" vertical="top" wrapText="1"/>
    </xf>
    <xf numFmtId="0" fontId="163" fillId="4" borderId="194" xfId="0" applyFont="1" applyFill="1" applyBorder="1" applyAlignment="1" applyProtection="1">
      <alignment horizontal="left" vertical="top" wrapText="1"/>
    </xf>
    <xf numFmtId="0" fontId="163" fillId="4" borderId="0" xfId="0" applyFont="1" applyFill="1" applyBorder="1" applyAlignment="1" applyProtection="1">
      <alignment horizontal="left" vertical="top" wrapText="1"/>
    </xf>
    <xf numFmtId="0" fontId="163" fillId="4" borderId="246" xfId="0" applyFont="1" applyFill="1" applyBorder="1" applyAlignment="1" applyProtection="1">
      <alignment horizontal="left" vertical="top" wrapText="1"/>
    </xf>
    <xf numFmtId="0" fontId="163" fillId="4" borderId="247" xfId="0" applyFont="1" applyFill="1" applyBorder="1" applyAlignment="1" applyProtection="1">
      <alignment horizontal="left" vertical="top" wrapText="1"/>
    </xf>
    <xf numFmtId="0" fontId="163" fillId="4" borderId="248" xfId="0" applyFont="1" applyFill="1" applyBorder="1" applyAlignment="1" applyProtection="1">
      <alignment horizontal="left" vertical="top" wrapText="1"/>
    </xf>
    <xf numFmtId="0" fontId="163" fillId="4" borderId="249" xfId="0" applyFont="1" applyFill="1" applyBorder="1" applyAlignment="1" applyProtection="1">
      <alignment horizontal="left" vertical="top" wrapText="1"/>
    </xf>
    <xf numFmtId="0" fontId="142" fillId="4" borderId="243" xfId="0" applyFont="1" applyFill="1" applyBorder="1" applyAlignment="1" applyProtection="1">
      <alignment horizontal="left" vertical="top" wrapText="1"/>
    </xf>
    <xf numFmtId="0" fontId="142" fillId="4" borderId="244" xfId="0" applyFont="1" applyFill="1" applyBorder="1" applyAlignment="1" applyProtection="1">
      <alignment horizontal="left" vertical="top" wrapText="1"/>
    </xf>
    <xf numFmtId="0" fontId="142" fillId="4" borderId="245" xfId="0" applyFont="1" applyFill="1" applyBorder="1" applyAlignment="1" applyProtection="1">
      <alignment horizontal="left" vertical="top" wrapText="1"/>
    </xf>
    <xf numFmtId="0" fontId="142" fillId="4" borderId="194" xfId="0" applyFont="1" applyFill="1" applyBorder="1" applyAlignment="1" applyProtection="1">
      <alignment horizontal="left" vertical="top" wrapText="1"/>
    </xf>
    <xf numFmtId="0" fontId="142" fillId="4" borderId="0" xfId="0" applyFont="1" applyFill="1" applyBorder="1" applyAlignment="1" applyProtection="1">
      <alignment horizontal="left" vertical="top" wrapText="1"/>
    </xf>
    <xf numFmtId="0" fontId="142" fillId="4" borderId="246" xfId="0" applyFont="1" applyFill="1" applyBorder="1" applyAlignment="1" applyProtection="1">
      <alignment horizontal="left" vertical="top" wrapText="1"/>
    </xf>
    <xf numFmtId="0" fontId="142" fillId="4" borderId="247" xfId="0" applyFont="1" applyFill="1" applyBorder="1" applyAlignment="1" applyProtection="1">
      <alignment horizontal="left" vertical="top" wrapText="1"/>
    </xf>
    <xf numFmtId="0" fontId="142" fillId="4" borderId="248" xfId="0" applyFont="1" applyFill="1" applyBorder="1" applyAlignment="1" applyProtection="1">
      <alignment horizontal="left" vertical="top" wrapText="1"/>
    </xf>
    <xf numFmtId="0" fontId="142" fillId="4" borderId="249" xfId="0" applyFont="1" applyFill="1" applyBorder="1" applyAlignment="1" applyProtection="1">
      <alignment horizontal="left" vertical="top" wrapText="1"/>
    </xf>
    <xf numFmtId="0" fontId="138" fillId="4" borderId="0" xfId="0" applyFont="1" applyFill="1" applyAlignment="1" applyProtection="1">
      <alignment horizontal="left" vertical="center" wrapText="1"/>
    </xf>
    <xf numFmtId="0" fontId="145" fillId="4" borderId="1" xfId="0" quotePrefix="1" applyFont="1" applyFill="1" applyBorder="1" applyAlignment="1" applyProtection="1">
      <alignment horizontal="left" vertical="center" wrapText="1"/>
    </xf>
    <xf numFmtId="0" fontId="145" fillId="4" borderId="1" xfId="0" applyFont="1" applyFill="1" applyBorder="1" applyAlignment="1" applyProtection="1">
      <alignment horizontal="left" vertical="center" wrapText="1"/>
    </xf>
    <xf numFmtId="0" fontId="145" fillId="4" borderId="2" xfId="0" quotePrefix="1" applyFont="1" applyFill="1" applyBorder="1" applyAlignment="1" applyProtection="1">
      <alignment horizontal="left" vertical="center" wrapText="1"/>
    </xf>
    <xf numFmtId="0" fontId="145" fillId="4" borderId="2" xfId="0" applyFont="1" applyFill="1" applyBorder="1" applyAlignment="1" applyProtection="1">
      <alignment horizontal="left" vertical="center" wrapText="1"/>
    </xf>
    <xf numFmtId="0" fontId="138" fillId="4" borderId="127" xfId="0" applyFont="1" applyFill="1" applyBorder="1" applyAlignment="1" applyProtection="1">
      <alignment horizontal="left" vertical="center" wrapText="1"/>
    </xf>
    <xf numFmtId="4" fontId="15" fillId="4" borderId="127" xfId="0" applyNumberFormat="1" applyFont="1" applyFill="1" applyBorder="1" applyAlignment="1" applyProtection="1">
      <alignment horizontal="center" vertical="center" wrapText="1"/>
      <protection locked="0"/>
    </xf>
    <xf numFmtId="0" fontId="139" fillId="4" borderId="243" xfId="0" applyFont="1" applyFill="1" applyBorder="1" applyAlignment="1" applyProtection="1">
      <alignment horizontal="left" vertical="top" wrapText="1"/>
    </xf>
    <xf numFmtId="0" fontId="139" fillId="4" borderId="244" xfId="0" applyFont="1" applyFill="1" applyBorder="1" applyAlignment="1" applyProtection="1">
      <alignment horizontal="left" vertical="top" wrapText="1"/>
    </xf>
    <xf numFmtId="0" fontId="139" fillId="4" borderId="245" xfId="0" applyFont="1" applyFill="1" applyBorder="1" applyAlignment="1" applyProtection="1">
      <alignment horizontal="left" vertical="top" wrapText="1"/>
    </xf>
    <xf numFmtId="0" fontId="139" fillId="4" borderId="194" xfId="0" applyFont="1" applyFill="1" applyBorder="1" applyAlignment="1" applyProtection="1">
      <alignment horizontal="left" vertical="top" wrapText="1"/>
    </xf>
    <xf numFmtId="0" fontId="139" fillId="4" borderId="0" xfId="0" applyFont="1" applyFill="1" applyBorder="1" applyAlignment="1" applyProtection="1">
      <alignment horizontal="left" vertical="top" wrapText="1"/>
    </xf>
    <xf numFmtId="0" fontId="139" fillId="4" borderId="246" xfId="0" applyFont="1" applyFill="1" applyBorder="1" applyAlignment="1" applyProtection="1">
      <alignment horizontal="left" vertical="top" wrapText="1"/>
    </xf>
    <xf numFmtId="0" fontId="139" fillId="4" borderId="247" xfId="0" applyFont="1" applyFill="1" applyBorder="1" applyAlignment="1" applyProtection="1">
      <alignment horizontal="left" vertical="top" wrapText="1"/>
    </xf>
    <xf numFmtId="0" fontId="139" fillId="4" borderId="248" xfId="0" applyFont="1" applyFill="1" applyBorder="1" applyAlignment="1" applyProtection="1">
      <alignment horizontal="left" vertical="top" wrapText="1"/>
    </xf>
    <xf numFmtId="0" fontId="139" fillId="4" borderId="249" xfId="0" applyFont="1" applyFill="1" applyBorder="1" applyAlignment="1" applyProtection="1">
      <alignment horizontal="left" vertical="top" wrapText="1"/>
    </xf>
    <xf numFmtId="0" fontId="138" fillId="4" borderId="0" xfId="0" quotePrefix="1" applyFont="1" applyFill="1" applyBorder="1" applyAlignment="1" applyProtection="1">
      <alignment horizontal="left" vertical="center" wrapText="1"/>
    </xf>
    <xf numFmtId="0" fontId="138" fillId="4" borderId="0" xfId="0" applyFont="1" applyFill="1" applyBorder="1" applyAlignment="1" applyProtection="1">
      <alignment horizontal="left" vertical="center" wrapText="1"/>
    </xf>
    <xf numFmtId="0" fontId="159" fillId="4" borderId="224" xfId="0" applyFont="1" applyFill="1" applyBorder="1" applyAlignment="1" applyProtection="1">
      <alignment horizontal="center"/>
    </xf>
    <xf numFmtId="0" fontId="138" fillId="4" borderId="125" xfId="0" applyFont="1" applyFill="1" applyBorder="1" applyAlignment="1" applyProtection="1">
      <alignment horizontal="left" vertical="center" wrapText="1"/>
    </xf>
    <xf numFmtId="0" fontId="138" fillId="4" borderId="126" xfId="0" quotePrefix="1" applyFont="1" applyFill="1" applyBorder="1" applyAlignment="1" applyProtection="1">
      <alignment horizontal="left" vertical="center" wrapText="1"/>
    </xf>
    <xf numFmtId="0" fontId="49" fillId="4" borderId="127" xfId="0" applyFont="1" applyFill="1" applyBorder="1" applyAlignment="1" applyProtection="1">
      <alignment horizontal="center" vertical="center"/>
    </xf>
    <xf numFmtId="0" fontId="200" fillId="4" borderId="125" xfId="0" quotePrefix="1" applyFont="1" applyFill="1" applyBorder="1" applyAlignment="1" applyProtection="1">
      <alignment horizontal="left" vertical="center" wrapText="1"/>
    </xf>
    <xf numFmtId="0" fontId="200" fillId="4" borderId="0" xfId="0" applyFont="1" applyFill="1" applyBorder="1" applyAlignment="1" applyProtection="1">
      <alignment horizontal="left" vertical="center" wrapText="1"/>
    </xf>
    <xf numFmtId="0" fontId="200" fillId="4" borderId="126" xfId="0" applyFont="1" applyFill="1" applyBorder="1" applyAlignment="1" applyProtection="1">
      <alignment horizontal="left" vertical="center" wrapText="1"/>
    </xf>
    <xf numFmtId="0" fontId="138" fillId="4" borderId="127" xfId="0" applyFont="1" applyFill="1" applyBorder="1" applyAlignment="1" applyProtection="1">
      <alignment horizontal="left" vertical="center"/>
    </xf>
    <xf numFmtId="0" fontId="138" fillId="4" borderId="127" xfId="0" quotePrefix="1" applyFont="1" applyFill="1" applyBorder="1" applyAlignment="1" applyProtection="1">
      <alignment horizontal="left" vertical="center" wrapText="1"/>
    </xf>
    <xf numFmtId="0" fontId="138" fillId="4" borderId="125" xfId="0" quotePrefix="1" applyFont="1" applyFill="1" applyBorder="1" applyAlignment="1" applyProtection="1">
      <alignment horizontal="left" vertical="center"/>
    </xf>
    <xf numFmtId="0" fontId="138" fillId="4" borderId="0" xfId="0" applyFont="1" applyFill="1" applyBorder="1" applyAlignment="1" applyProtection="1">
      <alignment horizontal="left" vertical="center"/>
    </xf>
    <xf numFmtId="0" fontId="138" fillId="4" borderId="126" xfId="0" applyFont="1" applyFill="1" applyBorder="1" applyAlignment="1" applyProtection="1">
      <alignment horizontal="left" vertical="center"/>
    </xf>
    <xf numFmtId="4" fontId="15" fillId="4" borderId="127" xfId="0" applyNumberFormat="1" applyFont="1" applyFill="1" applyBorder="1" applyAlignment="1" applyProtection="1">
      <alignment horizontal="center" vertical="center"/>
      <protection locked="0"/>
    </xf>
    <xf numFmtId="0" fontId="138" fillId="4" borderId="125" xfId="0" quotePrefix="1" applyFont="1" applyFill="1" applyBorder="1" applyAlignment="1" applyProtection="1">
      <alignment horizontal="left" vertical="center" wrapText="1"/>
    </xf>
    <xf numFmtId="0" fontId="22" fillId="4" borderId="12" xfId="0" applyFont="1" applyFill="1" applyBorder="1" applyAlignment="1" applyProtection="1">
      <alignment horizontal="left" vertical="center"/>
    </xf>
    <xf numFmtId="1" fontId="156" fillId="4" borderId="1" xfId="0" applyNumberFormat="1" applyFont="1" applyFill="1" applyBorder="1" applyAlignment="1" applyProtection="1">
      <alignment horizontal="center" vertical="center"/>
    </xf>
    <xf numFmtId="1" fontId="156" fillId="4" borderId="78" xfId="0" applyNumberFormat="1" applyFont="1" applyFill="1" applyBorder="1" applyAlignment="1" applyProtection="1">
      <alignment horizontal="center" vertical="center"/>
    </xf>
    <xf numFmtId="1" fontId="156" fillId="4" borderId="47" xfId="0" applyNumberFormat="1" applyFont="1" applyFill="1" applyBorder="1" applyAlignment="1" applyProtection="1">
      <alignment horizontal="center" vertical="center"/>
    </xf>
    <xf numFmtId="0" fontId="231" fillId="4" borderId="34" xfId="0" applyFont="1" applyFill="1" applyBorder="1" applyAlignment="1" applyProtection="1">
      <alignment horizontal="left" vertical="center" wrapText="1"/>
    </xf>
    <xf numFmtId="0" fontId="231" fillId="4" borderId="250" xfId="0" applyFont="1" applyFill="1" applyBorder="1" applyAlignment="1" applyProtection="1">
      <alignment horizontal="left" vertical="center" wrapText="1"/>
    </xf>
    <xf numFmtId="0" fontId="156" fillId="4" borderId="91" xfId="0" applyFont="1" applyFill="1" applyBorder="1" applyAlignment="1" applyProtection="1">
      <alignment horizontal="left" vertical="center"/>
    </xf>
    <xf numFmtId="0" fontId="156" fillId="4" borderId="92" xfId="0" applyFont="1" applyFill="1" applyBorder="1" applyAlignment="1" applyProtection="1">
      <alignment horizontal="left" vertical="center"/>
    </xf>
    <xf numFmtId="0" fontId="156" fillId="4" borderId="93" xfId="0" applyFont="1" applyFill="1" applyBorder="1" applyAlignment="1" applyProtection="1">
      <alignment horizontal="left" vertical="center"/>
    </xf>
    <xf numFmtId="0" fontId="182" fillId="22" borderId="46" xfId="0" applyFont="1" applyFill="1" applyBorder="1" applyAlignment="1" applyProtection="1">
      <alignment horizontal="center" vertical="center"/>
    </xf>
    <xf numFmtId="0" fontId="182" fillId="22" borderId="94" xfId="0" applyFont="1" applyFill="1" applyBorder="1" applyAlignment="1" applyProtection="1">
      <alignment horizontal="center" vertical="center"/>
    </xf>
    <xf numFmtId="0" fontId="239" fillId="4" borderId="34" xfId="0" applyFont="1" applyFill="1" applyBorder="1" applyAlignment="1" applyProtection="1">
      <alignment horizontal="left" vertical="center"/>
    </xf>
    <xf numFmtId="0" fontId="239" fillId="4" borderId="0" xfId="0" applyFont="1" applyFill="1" applyBorder="1" applyAlignment="1" applyProtection="1">
      <alignment horizontal="left" vertical="center"/>
    </xf>
    <xf numFmtId="10" fontId="159" fillId="24" borderId="130" xfId="6" quotePrefix="1" applyNumberFormat="1" applyFont="1" applyFill="1" applyBorder="1" applyAlignment="1" applyProtection="1">
      <alignment horizontal="center" vertical="center"/>
    </xf>
    <xf numFmtId="10" fontId="159" fillId="24" borderId="129" xfId="6" quotePrefix="1" applyNumberFormat="1" applyFont="1" applyFill="1" applyBorder="1" applyAlignment="1" applyProtection="1">
      <alignment horizontal="center" vertical="center"/>
    </xf>
    <xf numFmtId="0" fontId="148" fillId="4" borderId="78" xfId="0" applyFont="1" applyFill="1" applyBorder="1" applyAlignment="1" applyProtection="1">
      <alignment horizontal="left" vertical="center"/>
    </xf>
    <xf numFmtId="0" fontId="148" fillId="4" borderId="46" xfId="0" applyFont="1" applyFill="1" applyBorder="1" applyAlignment="1" applyProtection="1">
      <alignment horizontal="left" vertical="center"/>
    </xf>
    <xf numFmtId="0" fontId="148" fillId="4" borderId="94" xfId="0" applyFont="1" applyFill="1" applyBorder="1" applyAlignment="1" applyProtection="1">
      <alignment horizontal="left" vertical="center"/>
    </xf>
    <xf numFmtId="0" fontId="236" fillId="4" borderId="78" xfId="0" applyFont="1" applyFill="1" applyBorder="1" applyAlignment="1" applyProtection="1">
      <alignment horizontal="left" vertical="center"/>
    </xf>
    <xf numFmtId="0" fontId="236" fillId="4" borderId="46" xfId="0" applyFont="1" applyFill="1" applyBorder="1" applyAlignment="1" applyProtection="1">
      <alignment horizontal="left" vertical="center"/>
    </xf>
    <xf numFmtId="0" fontId="236" fillId="4" borderId="94" xfId="0" applyFont="1" applyFill="1" applyBorder="1" applyAlignment="1" applyProtection="1">
      <alignment horizontal="left" vertical="center"/>
    </xf>
    <xf numFmtId="0" fontId="240" fillId="4" borderId="34" xfId="0" applyFont="1" applyFill="1" applyBorder="1" applyAlignment="1" applyProtection="1">
      <alignment horizontal="left" vertical="center"/>
    </xf>
    <xf numFmtId="0" fontId="240" fillId="4" borderId="0" xfId="0" applyFont="1" applyFill="1" applyBorder="1" applyAlignment="1" applyProtection="1">
      <alignment horizontal="left" vertical="center"/>
    </xf>
    <xf numFmtId="0" fontId="182" fillId="25" borderId="46" xfId="0" applyFont="1" applyFill="1" applyBorder="1" applyAlignment="1" applyProtection="1">
      <alignment horizontal="center" vertical="center"/>
    </xf>
    <xf numFmtId="0" fontId="182" fillId="25" borderId="94" xfId="0" applyFont="1" applyFill="1" applyBorder="1" applyAlignment="1" applyProtection="1">
      <alignment horizontal="center" vertical="center"/>
    </xf>
    <xf numFmtId="0" fontId="227" fillId="4" borderId="34" xfId="0" applyFont="1" applyFill="1" applyBorder="1" applyAlignment="1" applyProtection="1">
      <alignment horizontal="left" vertical="center"/>
    </xf>
    <xf numFmtId="0" fontId="227" fillId="4" borderId="0" xfId="0" applyFont="1" applyFill="1" applyBorder="1" applyAlignment="1" applyProtection="1">
      <alignment horizontal="left" vertical="center"/>
    </xf>
    <xf numFmtId="0" fontId="237" fillId="4" borderId="78" xfId="0" applyFont="1" applyFill="1" applyBorder="1" applyAlignment="1" applyProtection="1">
      <alignment horizontal="left" vertical="center"/>
    </xf>
    <xf numFmtId="0" fontId="237" fillId="4" borderId="46" xfId="0" applyFont="1" applyFill="1" applyBorder="1" applyAlignment="1" applyProtection="1">
      <alignment horizontal="left" vertical="center"/>
    </xf>
    <xf numFmtId="0" fontId="237" fillId="4" borderId="94" xfId="0" applyFont="1" applyFill="1" applyBorder="1" applyAlignment="1" applyProtection="1">
      <alignment horizontal="left" vertical="center"/>
    </xf>
    <xf numFmtId="0" fontId="228" fillId="4" borderId="34" xfId="0" applyFont="1" applyFill="1" applyBorder="1" applyAlignment="1" applyProtection="1">
      <alignment horizontal="left" vertical="center"/>
    </xf>
    <xf numFmtId="0" fontId="228" fillId="4" borderId="0" xfId="0" applyFont="1" applyFill="1" applyBorder="1" applyAlignment="1" applyProtection="1">
      <alignment horizontal="left" vertical="center"/>
    </xf>
    <xf numFmtId="0" fontId="232" fillId="4" borderId="34" xfId="0" applyFont="1" applyFill="1" applyBorder="1" applyAlignment="1" applyProtection="1">
      <alignment horizontal="left" vertical="center" wrapText="1"/>
    </xf>
    <xf numFmtId="0" fontId="232" fillId="4" borderId="0" xfId="0" applyFont="1" applyFill="1" applyBorder="1" applyAlignment="1" applyProtection="1">
      <alignment horizontal="left" vertical="center" wrapText="1"/>
    </xf>
    <xf numFmtId="9" fontId="159" fillId="29" borderId="134" xfId="0" applyNumberFormat="1" applyFont="1" applyFill="1" applyBorder="1" applyAlignment="1" applyProtection="1">
      <alignment horizontal="center" vertical="center"/>
    </xf>
    <xf numFmtId="9" fontId="159" fillId="29" borderId="135" xfId="0" applyNumberFormat="1" applyFont="1" applyFill="1" applyBorder="1" applyAlignment="1" applyProtection="1">
      <alignment horizontal="center" vertical="center"/>
    </xf>
    <xf numFmtId="9" fontId="159" fillId="29" borderId="218" xfId="0" applyNumberFormat="1" applyFont="1" applyFill="1" applyBorder="1" applyAlignment="1" applyProtection="1">
      <alignment horizontal="center" vertical="center"/>
    </xf>
    <xf numFmtId="0" fontId="204" fillId="4" borderId="78" xfId="0" applyFont="1" applyFill="1" applyBorder="1" applyAlignment="1" applyProtection="1">
      <alignment horizontal="left" vertical="center"/>
    </xf>
    <xf numFmtId="0" fontId="204" fillId="4" borderId="46" xfId="0" applyFont="1" applyFill="1" applyBorder="1" applyAlignment="1" applyProtection="1">
      <alignment horizontal="left" vertical="center"/>
    </xf>
    <xf numFmtId="0" fontId="204" fillId="4" borderId="94" xfId="0" applyFont="1" applyFill="1" applyBorder="1" applyAlignment="1" applyProtection="1">
      <alignment horizontal="left" vertical="center"/>
    </xf>
    <xf numFmtId="0" fontId="233" fillId="4" borderId="78" xfId="0" applyFont="1" applyFill="1" applyBorder="1" applyAlignment="1" applyProtection="1">
      <alignment horizontal="left" vertical="center"/>
    </xf>
    <xf numFmtId="0" fontId="233" fillId="4" borderId="46" xfId="0" applyFont="1" applyFill="1" applyBorder="1" applyAlignment="1" applyProtection="1">
      <alignment horizontal="left" vertical="center"/>
    </xf>
    <xf numFmtId="0" fontId="233" fillId="4" borderId="94" xfId="0" applyFont="1" applyFill="1" applyBorder="1" applyAlignment="1" applyProtection="1">
      <alignment horizontal="left" vertical="center"/>
    </xf>
    <xf numFmtId="0" fontId="182" fillId="27" borderId="46" xfId="0" applyFont="1" applyFill="1" applyBorder="1" applyAlignment="1" applyProtection="1">
      <alignment horizontal="center" vertical="center"/>
    </xf>
    <xf numFmtId="0" fontId="182" fillId="27" borderId="94" xfId="0" applyFont="1" applyFill="1" applyBorder="1" applyAlignment="1" applyProtection="1">
      <alignment horizontal="center" vertical="center"/>
    </xf>
    <xf numFmtId="0" fontId="235" fillId="4" borderId="34" xfId="0" applyFont="1" applyFill="1" applyBorder="1" applyAlignment="1" applyProtection="1">
      <alignment horizontal="left" vertical="center" wrapText="1"/>
    </xf>
    <xf numFmtId="0" fontId="235" fillId="4" borderId="0" xfId="0" applyFont="1" applyFill="1" applyBorder="1" applyAlignment="1" applyProtection="1">
      <alignment horizontal="left" vertical="center" wrapText="1"/>
    </xf>
    <xf numFmtId="0" fontId="234" fillId="4" borderId="78" xfId="0" applyFont="1" applyFill="1" applyBorder="1" applyAlignment="1" applyProtection="1">
      <alignment horizontal="left" vertical="center"/>
    </xf>
    <xf numFmtId="0" fontId="234" fillId="4" borderId="46" xfId="0" applyFont="1" applyFill="1" applyBorder="1" applyAlignment="1" applyProtection="1">
      <alignment horizontal="left" vertical="center"/>
    </xf>
    <xf numFmtId="0" fontId="234" fillId="4" borderId="94" xfId="0" applyFont="1" applyFill="1" applyBorder="1" applyAlignment="1" applyProtection="1">
      <alignment horizontal="left" vertical="center"/>
    </xf>
    <xf numFmtId="0" fontId="182" fillId="28" borderId="46" xfId="0" applyFont="1" applyFill="1" applyBorder="1" applyAlignment="1" applyProtection="1">
      <alignment horizontal="center" vertical="center"/>
    </xf>
    <xf numFmtId="0" fontId="182" fillId="28" borderId="94" xfId="0" applyFont="1" applyFill="1" applyBorder="1" applyAlignment="1" applyProtection="1">
      <alignment horizontal="center" vertical="center"/>
    </xf>
    <xf numFmtId="0" fontId="182" fillId="36" borderId="46" xfId="0" applyFont="1" applyFill="1" applyBorder="1" applyAlignment="1" applyProtection="1">
      <alignment horizontal="center" vertical="center"/>
    </xf>
    <xf numFmtId="0" fontId="182" fillId="36" borderId="94" xfId="0" applyFont="1" applyFill="1" applyBorder="1" applyAlignment="1" applyProtection="1">
      <alignment horizontal="center" vertical="center"/>
    </xf>
    <xf numFmtId="9" fontId="159" fillId="10" borderId="130" xfId="6" applyFont="1" applyFill="1" applyBorder="1" applyAlignment="1" applyProtection="1">
      <alignment horizontal="center" vertical="center"/>
    </xf>
    <xf numFmtId="9" fontId="159" fillId="10" borderId="129" xfId="6" applyFont="1" applyFill="1" applyBorder="1" applyAlignment="1" applyProtection="1">
      <alignment horizontal="center" vertical="center"/>
    </xf>
    <xf numFmtId="168" fontId="159" fillId="10" borderId="134" xfId="2" applyNumberFormat="1" applyFont="1" applyFill="1" applyBorder="1" applyAlignment="1" applyProtection="1">
      <alignment horizontal="center" vertical="center"/>
    </xf>
    <xf numFmtId="168" fontId="159" fillId="10" borderId="135" xfId="2" applyNumberFormat="1" applyFont="1" applyFill="1" applyBorder="1" applyAlignment="1" applyProtection="1">
      <alignment horizontal="center" vertical="center"/>
    </xf>
    <xf numFmtId="9" fontId="159" fillId="5" borderId="130" xfId="0" applyNumberFormat="1" applyFont="1" applyFill="1" applyBorder="1" applyAlignment="1" applyProtection="1">
      <alignment horizontal="center" vertical="center"/>
    </xf>
    <xf numFmtId="9" fontId="159" fillId="5" borderId="129" xfId="0" applyNumberFormat="1" applyFont="1" applyFill="1" applyBorder="1" applyAlignment="1" applyProtection="1">
      <alignment horizontal="center" vertical="center"/>
    </xf>
    <xf numFmtId="168" fontId="159" fillId="10" borderId="218" xfId="2" applyNumberFormat="1" applyFont="1" applyFill="1" applyBorder="1" applyAlignment="1" applyProtection="1">
      <alignment horizontal="center" vertical="center"/>
    </xf>
    <xf numFmtId="0" fontId="152" fillId="4" borderId="78" xfId="0" applyFont="1" applyFill="1" applyBorder="1" applyAlignment="1" applyProtection="1">
      <alignment horizontal="left" vertical="center"/>
    </xf>
    <xf numFmtId="0" fontId="152" fillId="4" borderId="46" xfId="0" applyFont="1" applyFill="1" applyBorder="1" applyAlignment="1" applyProtection="1">
      <alignment horizontal="left" vertical="center"/>
    </xf>
    <xf numFmtId="0" fontId="152" fillId="4" borderId="94" xfId="0" applyFont="1" applyFill="1" applyBorder="1" applyAlignment="1" applyProtection="1">
      <alignment horizontal="left" vertical="center"/>
    </xf>
    <xf numFmtId="0" fontId="182" fillId="20" borderId="46" xfId="0" applyFont="1" applyFill="1" applyBorder="1" applyAlignment="1" applyProtection="1">
      <alignment horizontal="center" vertical="center"/>
    </xf>
    <xf numFmtId="0" fontId="182" fillId="20" borderId="94" xfId="0" applyFont="1" applyFill="1" applyBorder="1" applyAlignment="1" applyProtection="1">
      <alignment horizontal="center" vertical="center"/>
    </xf>
    <xf numFmtId="0" fontId="226" fillId="4" borderId="34" xfId="0" applyFont="1" applyFill="1" applyBorder="1" applyAlignment="1" applyProtection="1">
      <alignment horizontal="left" vertical="center"/>
    </xf>
    <xf numFmtId="0" fontId="226" fillId="4" borderId="0" xfId="0" applyFont="1" applyFill="1" applyBorder="1" applyAlignment="1" applyProtection="1">
      <alignment horizontal="left" vertical="center"/>
    </xf>
    <xf numFmtId="0" fontId="209" fillId="4" borderId="34" xfId="0" applyFont="1" applyFill="1" applyBorder="1" applyAlignment="1" applyProtection="1">
      <alignment horizontal="left" vertical="center"/>
    </xf>
    <xf numFmtId="0" fontId="209" fillId="4" borderId="250" xfId="0" applyFont="1" applyFill="1" applyBorder="1" applyAlignment="1" applyProtection="1">
      <alignment horizontal="left" vertical="center"/>
    </xf>
    <xf numFmtId="165" fontId="159" fillId="10" borderId="134" xfId="6" applyNumberFormat="1" applyFont="1" applyFill="1" applyBorder="1" applyAlignment="1" applyProtection="1">
      <alignment horizontal="center" vertical="center"/>
    </xf>
    <xf numFmtId="165" fontId="159" fillId="10" borderId="135" xfId="6" applyNumberFormat="1" applyFont="1" applyFill="1" applyBorder="1" applyAlignment="1" applyProtection="1">
      <alignment horizontal="center" vertical="center"/>
    </xf>
    <xf numFmtId="165" fontId="159" fillId="10" borderId="218" xfId="6" applyNumberFormat="1" applyFont="1" applyFill="1" applyBorder="1" applyAlignment="1" applyProtection="1">
      <alignment horizontal="center" vertical="center"/>
    </xf>
    <xf numFmtId="168" fontId="159" fillId="10" borderId="128" xfId="0" applyNumberFormat="1" applyFont="1" applyFill="1" applyBorder="1" applyAlignment="1" applyProtection="1">
      <alignment horizontal="center" vertical="center"/>
    </xf>
    <xf numFmtId="168" fontId="159" fillId="10" borderId="129" xfId="0" applyNumberFormat="1" applyFont="1" applyFill="1" applyBorder="1" applyAlignment="1" applyProtection="1">
      <alignment horizontal="center" vertical="center"/>
    </xf>
    <xf numFmtId="168" fontId="159" fillId="10" borderId="130" xfId="2" applyNumberFormat="1" applyFont="1" applyFill="1" applyBorder="1" applyAlignment="1" applyProtection="1">
      <alignment horizontal="center" vertical="center"/>
    </xf>
    <xf numFmtId="168" fontId="159" fillId="10" borderId="129" xfId="2" applyNumberFormat="1" applyFont="1" applyFill="1" applyBorder="1" applyAlignment="1" applyProtection="1">
      <alignment horizontal="center" vertical="center"/>
    </xf>
    <xf numFmtId="168" fontId="159" fillId="10" borderId="218" xfId="0" applyNumberFormat="1" applyFont="1" applyFill="1" applyBorder="1" applyAlignment="1" applyProtection="1">
      <alignment vertical="center"/>
    </xf>
    <xf numFmtId="168" fontId="159" fillId="10" borderId="135" xfId="0" applyNumberFormat="1" applyFont="1" applyFill="1" applyBorder="1" applyAlignment="1" applyProtection="1">
      <alignment vertical="center"/>
    </xf>
    <xf numFmtId="168" fontId="139" fillId="3" borderId="134" xfId="6" quotePrefix="1" applyNumberFormat="1" applyFont="1" applyFill="1" applyBorder="1" applyAlignment="1" applyProtection="1">
      <alignment horizontal="center" vertical="center" wrapText="1"/>
    </xf>
    <xf numFmtId="168" fontId="139" fillId="3" borderId="135" xfId="6" quotePrefix="1" applyNumberFormat="1" applyFont="1" applyFill="1" applyBorder="1" applyAlignment="1" applyProtection="1">
      <alignment horizontal="center" vertical="center" wrapText="1"/>
    </xf>
    <xf numFmtId="0" fontId="238" fillId="4" borderId="34" xfId="0" applyFont="1" applyFill="1" applyBorder="1" applyAlignment="1" applyProtection="1">
      <alignment horizontal="left" vertical="center" wrapText="1"/>
    </xf>
    <xf numFmtId="0" fontId="238" fillId="4" borderId="250" xfId="0" applyFont="1" applyFill="1" applyBorder="1" applyAlignment="1" applyProtection="1">
      <alignment horizontal="left" vertical="center" wrapText="1"/>
    </xf>
    <xf numFmtId="0" fontId="156" fillId="4" borderId="213" xfId="0" applyFont="1" applyFill="1" applyBorder="1" applyAlignment="1" applyProtection="1">
      <alignment horizontal="center" vertical="center"/>
    </xf>
    <xf numFmtId="168" fontId="159" fillId="29" borderId="130" xfId="0" applyNumberFormat="1" applyFont="1" applyFill="1" applyBorder="1" applyAlignment="1" applyProtection="1">
      <alignment horizontal="center" vertical="center"/>
    </xf>
    <xf numFmtId="168" fontId="159" fillId="29" borderId="129" xfId="0" applyNumberFormat="1" applyFont="1" applyFill="1" applyBorder="1" applyAlignment="1" applyProtection="1">
      <alignment horizontal="center" vertical="center"/>
    </xf>
    <xf numFmtId="5" fontId="159" fillId="29" borderId="130" xfId="0" applyNumberFormat="1" applyFont="1" applyFill="1" applyBorder="1" applyAlignment="1" applyProtection="1">
      <alignment horizontal="center" vertical="center"/>
    </xf>
    <xf numFmtId="5" fontId="159" fillId="29" borderId="129" xfId="0" applyNumberFormat="1" applyFont="1" applyFill="1" applyBorder="1" applyAlignment="1" applyProtection="1">
      <alignment horizontal="center" vertical="center"/>
    </xf>
    <xf numFmtId="9" fontId="13" fillId="10" borderId="256" xfId="6" applyFont="1" applyFill="1" applyBorder="1" applyAlignment="1" applyProtection="1">
      <alignment horizontal="center" vertical="center"/>
    </xf>
    <xf numFmtId="9" fontId="13" fillId="10" borderId="257" xfId="6" applyFont="1" applyFill="1" applyBorder="1" applyAlignment="1" applyProtection="1">
      <alignment horizontal="center" vertical="center"/>
    </xf>
    <xf numFmtId="9" fontId="13" fillId="10" borderId="258" xfId="6" applyFont="1" applyFill="1" applyBorder="1" applyAlignment="1" applyProtection="1">
      <alignment horizontal="center" vertical="center"/>
    </xf>
    <xf numFmtId="9" fontId="13" fillId="10" borderId="259" xfId="6" applyFont="1" applyFill="1" applyBorder="1" applyAlignment="1" applyProtection="1">
      <alignment horizontal="center" vertical="center"/>
    </xf>
    <xf numFmtId="165" fontId="13" fillId="10" borderId="260" xfId="6" applyNumberFormat="1" applyFont="1" applyFill="1" applyBorder="1" applyAlignment="1" applyProtection="1">
      <alignment horizontal="center" vertical="center"/>
    </xf>
    <xf numFmtId="165" fontId="13" fillId="10" borderId="261" xfId="6" applyNumberFormat="1" applyFont="1" applyFill="1" applyBorder="1" applyAlignment="1" applyProtection="1">
      <alignment horizontal="center" vertical="center"/>
    </xf>
    <xf numFmtId="165" fontId="13" fillId="10" borderId="262" xfId="6" applyNumberFormat="1" applyFont="1" applyFill="1" applyBorder="1" applyAlignment="1" applyProtection="1">
      <alignment horizontal="center" vertical="center"/>
    </xf>
    <xf numFmtId="165" fontId="13" fillId="10" borderId="263" xfId="6" applyNumberFormat="1" applyFont="1" applyFill="1" applyBorder="1" applyAlignment="1" applyProtection="1">
      <alignment horizontal="center" vertical="center"/>
    </xf>
    <xf numFmtId="165" fontId="13" fillId="10" borderId="252" xfId="6" applyNumberFormat="1" applyFont="1" applyFill="1" applyBorder="1" applyAlignment="1" applyProtection="1">
      <alignment horizontal="center" vertical="center"/>
    </xf>
    <xf numFmtId="165" fontId="13" fillId="10" borderId="253" xfId="6" applyNumberFormat="1" applyFont="1" applyFill="1" applyBorder="1" applyAlignment="1" applyProtection="1">
      <alignment horizontal="center" vertical="center"/>
    </xf>
    <xf numFmtId="165" fontId="13" fillId="10" borderId="254" xfId="6" applyNumberFormat="1" applyFont="1" applyFill="1" applyBorder="1" applyAlignment="1" applyProtection="1">
      <alignment horizontal="center" vertical="center"/>
    </xf>
    <xf numFmtId="165" fontId="13" fillId="10" borderId="255" xfId="6" applyNumberFormat="1" applyFont="1" applyFill="1" applyBorder="1" applyAlignment="1" applyProtection="1">
      <alignment horizontal="center" vertical="center"/>
    </xf>
    <xf numFmtId="5" fontId="13" fillId="10" borderId="262" xfId="2" applyNumberFormat="1" applyFont="1" applyFill="1" applyBorder="1" applyAlignment="1" applyProtection="1">
      <alignment horizontal="center" vertical="center"/>
    </xf>
    <xf numFmtId="5" fontId="13" fillId="10" borderId="261" xfId="2" applyNumberFormat="1" applyFont="1" applyFill="1" applyBorder="1" applyAlignment="1" applyProtection="1">
      <alignment horizontal="center" vertical="center"/>
    </xf>
    <xf numFmtId="5" fontId="13" fillId="10" borderId="260" xfId="2" applyNumberFormat="1" applyFont="1" applyFill="1" applyBorder="1" applyAlignment="1" applyProtection="1">
      <alignment horizontal="center" vertical="center"/>
    </xf>
    <xf numFmtId="5" fontId="13" fillId="10" borderId="263" xfId="2" applyNumberFormat="1" applyFont="1" applyFill="1" applyBorder="1" applyAlignment="1" applyProtection="1">
      <alignment horizontal="center" vertical="center"/>
    </xf>
    <xf numFmtId="168" fontId="145" fillId="24" borderId="220" xfId="2" applyNumberFormat="1" applyFont="1" applyFill="1" applyBorder="1" applyAlignment="1" applyProtection="1">
      <alignment horizontal="center" vertical="center"/>
    </xf>
    <xf numFmtId="168" fontId="145" fillId="24" borderId="212" xfId="2" applyNumberFormat="1" applyFont="1" applyFill="1" applyBorder="1" applyAlignment="1" applyProtection="1">
      <alignment horizontal="center" vertical="center"/>
    </xf>
    <xf numFmtId="168" fontId="145" fillId="24" borderId="213" xfId="2" applyNumberFormat="1" applyFont="1" applyFill="1" applyBorder="1" applyAlignment="1" applyProtection="1">
      <alignment horizontal="center" vertical="center"/>
    </xf>
    <xf numFmtId="9" fontId="138" fillId="31" borderId="131" xfId="6" applyFont="1" applyFill="1" applyBorder="1" applyAlignment="1" applyProtection="1">
      <alignment horizontal="center" vertical="center"/>
    </xf>
    <xf numFmtId="9" fontId="138" fillId="31" borderId="129" xfId="6" applyFont="1" applyFill="1" applyBorder="1" applyAlignment="1" applyProtection="1">
      <alignment horizontal="center" vertical="center"/>
    </xf>
    <xf numFmtId="0" fontId="156" fillId="4" borderId="47" xfId="0" applyFont="1" applyFill="1" applyBorder="1" applyAlignment="1" applyProtection="1">
      <alignment horizontal="center" vertical="center"/>
    </xf>
    <xf numFmtId="9" fontId="138" fillId="31" borderId="212" xfId="6" applyFont="1" applyFill="1" applyBorder="1" applyAlignment="1" applyProtection="1">
      <alignment horizontal="center" vertical="center"/>
    </xf>
    <xf numFmtId="9" fontId="138" fillId="31" borderId="251" xfId="6" applyFont="1" applyFill="1" applyBorder="1" applyAlignment="1" applyProtection="1">
      <alignment horizontal="center" vertical="center"/>
    </xf>
    <xf numFmtId="9" fontId="138" fillId="31" borderId="220" xfId="6" applyFont="1" applyFill="1" applyBorder="1" applyAlignment="1" applyProtection="1">
      <alignment horizontal="center" vertical="center"/>
    </xf>
    <xf numFmtId="9" fontId="138" fillId="31" borderId="130" xfId="6" applyFont="1" applyFill="1" applyBorder="1" applyAlignment="1" applyProtection="1">
      <alignment horizontal="center" vertical="center"/>
    </xf>
    <xf numFmtId="0" fontId="239" fillId="4" borderId="0" xfId="0" applyFont="1" applyFill="1" applyAlignment="1" applyProtection="1">
      <alignment horizontal="center" vertical="center"/>
    </xf>
    <xf numFmtId="0" fontId="239" fillId="4" borderId="0" xfId="0" applyFont="1" applyFill="1" applyBorder="1" applyAlignment="1" applyProtection="1">
      <alignment horizontal="center" vertical="center"/>
    </xf>
    <xf numFmtId="0" fontId="238" fillId="4" borderId="0" xfId="0" applyFont="1" applyFill="1" applyAlignment="1" applyProtection="1">
      <alignment horizontal="right" vertical="center"/>
    </xf>
    <xf numFmtId="0" fontId="238" fillId="4" borderId="0" xfId="0" applyFont="1" applyFill="1" applyBorder="1" applyAlignment="1" applyProtection="1">
      <alignment horizontal="right" vertical="center"/>
    </xf>
    <xf numFmtId="0" fontId="227" fillId="4" borderId="0" xfId="0" applyFont="1" applyFill="1" applyAlignment="1" applyProtection="1">
      <alignment horizontal="left" vertical="center"/>
    </xf>
    <xf numFmtId="0" fontId="228" fillId="4" borderId="0" xfId="0" applyFont="1" applyFill="1" applyAlignment="1" applyProtection="1">
      <alignment horizontal="center" vertical="center"/>
    </xf>
    <xf numFmtId="0" fontId="228" fillId="4" borderId="0" xfId="0" applyFont="1" applyFill="1" applyBorder="1" applyAlignment="1" applyProtection="1">
      <alignment horizontal="center" vertical="center"/>
    </xf>
    <xf numFmtId="0" fontId="156" fillId="4" borderId="176" xfId="0" applyFont="1" applyFill="1" applyBorder="1" applyAlignment="1" applyProtection="1">
      <alignment horizontal="left" vertical="center"/>
    </xf>
    <xf numFmtId="0" fontId="148" fillId="4" borderId="176" xfId="0" applyFont="1" applyFill="1" applyBorder="1" applyAlignment="1" applyProtection="1">
      <alignment horizontal="left" vertical="center"/>
    </xf>
    <xf numFmtId="0" fontId="212" fillId="4" borderId="176" xfId="0" applyFont="1" applyFill="1" applyBorder="1" applyAlignment="1" applyProtection="1">
      <alignment horizontal="left" vertical="center"/>
    </xf>
    <xf numFmtId="0" fontId="153" fillId="38" borderId="270" xfId="0" applyFont="1" applyFill="1" applyBorder="1" applyAlignment="1" applyProtection="1">
      <alignment horizontal="center" vertical="center"/>
    </xf>
    <xf numFmtId="0" fontId="153" fillId="38" borderId="271" xfId="0" applyFont="1" applyFill="1" applyBorder="1" applyAlignment="1" applyProtection="1">
      <alignment horizontal="center" vertical="center"/>
    </xf>
    <xf numFmtId="0" fontId="183" fillId="4" borderId="163" xfId="0" applyFont="1" applyFill="1" applyBorder="1" applyAlignment="1" applyProtection="1">
      <alignment horizontal="right" vertical="center"/>
    </xf>
    <xf numFmtId="0" fontId="156" fillId="4" borderId="44" xfId="0" applyFont="1" applyFill="1" applyBorder="1" applyAlignment="1" applyProtection="1">
      <alignment horizontal="center" vertical="center"/>
    </xf>
    <xf numFmtId="0" fontId="156" fillId="4" borderId="0" xfId="0" applyFont="1" applyFill="1" applyBorder="1" applyAlignment="1" applyProtection="1">
      <alignment horizontal="left" vertical="center"/>
    </xf>
    <xf numFmtId="0" fontId="157" fillId="4" borderId="0" xfId="0" applyFont="1" applyFill="1" applyBorder="1" applyAlignment="1" applyProtection="1">
      <alignment horizontal="center" vertical="center"/>
    </xf>
    <xf numFmtId="0" fontId="157" fillId="4" borderId="167" xfId="0" applyFont="1" applyFill="1" applyBorder="1" applyAlignment="1" applyProtection="1">
      <alignment horizontal="left" vertical="center"/>
    </xf>
    <xf numFmtId="0" fontId="156" fillId="4" borderId="63" xfId="0" applyFont="1" applyFill="1" applyBorder="1" applyAlignment="1" applyProtection="1">
      <alignment horizontal="center" vertical="center"/>
    </xf>
    <xf numFmtId="0" fontId="157" fillId="4" borderId="0" xfId="0" applyFont="1" applyFill="1" applyBorder="1" applyAlignment="1" applyProtection="1">
      <alignment horizontal="center" vertical="top"/>
    </xf>
    <xf numFmtId="0" fontId="185" fillId="4" borderId="173" xfId="0" applyFont="1" applyFill="1" applyBorder="1" applyAlignment="1" applyProtection="1">
      <alignment horizontal="right" vertical="center"/>
    </xf>
    <xf numFmtId="0" fontId="156" fillId="4" borderId="174" xfId="0" applyFont="1" applyFill="1" applyBorder="1" applyAlignment="1" applyProtection="1">
      <alignment horizontal="left" vertical="center"/>
    </xf>
    <xf numFmtId="0" fontId="233" fillId="4" borderId="168" xfId="0" applyFont="1" applyFill="1" applyBorder="1" applyAlignment="1" applyProtection="1">
      <alignment horizontal="left" vertical="center"/>
    </xf>
    <xf numFmtId="0" fontId="153" fillId="27" borderId="277" xfId="0" applyFont="1" applyFill="1" applyBorder="1" applyAlignment="1" applyProtection="1">
      <alignment horizontal="center" vertical="center"/>
    </xf>
    <xf numFmtId="0" fontId="153" fillId="27" borderId="278" xfId="0" applyFont="1" applyFill="1" applyBorder="1" applyAlignment="1" applyProtection="1">
      <alignment horizontal="center" vertical="center"/>
    </xf>
    <xf numFmtId="0" fontId="153" fillId="28" borderId="270" xfId="0" applyFont="1" applyFill="1" applyBorder="1" applyAlignment="1" applyProtection="1">
      <alignment horizontal="center" vertical="center"/>
    </xf>
    <xf numFmtId="0" fontId="153" fillId="28" borderId="271" xfId="0" applyFont="1" applyFill="1" applyBorder="1" applyAlignment="1" applyProtection="1">
      <alignment horizontal="center" vertical="center"/>
    </xf>
    <xf numFmtId="0" fontId="156" fillId="4" borderId="0" xfId="0" applyFont="1" applyFill="1" applyBorder="1" applyAlignment="1" applyProtection="1">
      <alignment horizontal="left" vertical="top" wrapText="1"/>
    </xf>
    <xf numFmtId="0" fontId="156" fillId="4" borderId="185" xfId="0" applyFont="1" applyFill="1" applyBorder="1" applyAlignment="1" applyProtection="1">
      <alignment horizontal="left" vertical="top" wrapText="1"/>
    </xf>
    <xf numFmtId="0" fontId="138" fillId="4" borderId="0" xfId="0" applyFont="1" applyFill="1" applyBorder="1" applyAlignment="1" applyProtection="1">
      <alignment horizontal="left" vertical="top" wrapText="1"/>
    </xf>
    <xf numFmtId="0" fontId="138" fillId="4" borderId="185" xfId="0" applyFont="1" applyFill="1" applyBorder="1" applyAlignment="1" applyProtection="1">
      <alignment horizontal="left" vertical="top" wrapText="1"/>
    </xf>
    <xf numFmtId="0" fontId="242" fillId="4" borderId="0" xfId="0" applyFont="1" applyFill="1" applyBorder="1" applyAlignment="1" applyProtection="1">
      <alignment horizontal="left" vertical="top" wrapText="1"/>
    </xf>
    <xf numFmtId="0" fontId="242" fillId="4" borderId="185" xfId="0" applyFont="1" applyFill="1" applyBorder="1" applyAlignment="1" applyProtection="1">
      <alignment horizontal="left" vertical="top" wrapText="1"/>
    </xf>
    <xf numFmtId="0" fontId="13" fillId="4" borderId="0" xfId="0" applyFont="1" applyFill="1" applyBorder="1" applyAlignment="1" applyProtection="1">
      <alignment horizontal="left" vertical="center" wrapText="1"/>
    </xf>
    <xf numFmtId="0" fontId="153" fillId="36" borderId="233" xfId="0" applyFont="1" applyFill="1" applyBorder="1" applyAlignment="1" applyProtection="1">
      <alignment horizontal="center" vertical="center"/>
    </xf>
    <xf numFmtId="0" fontId="156" fillId="4" borderId="152" xfId="0" applyFont="1" applyFill="1" applyBorder="1" applyAlignment="1" applyProtection="1">
      <alignment horizontal="left" vertical="top" wrapText="1"/>
    </xf>
    <xf numFmtId="0" fontId="156" fillId="4" borderId="156" xfId="0" applyFont="1" applyFill="1" applyBorder="1" applyAlignment="1" applyProtection="1">
      <alignment horizontal="left" vertical="top" wrapText="1"/>
    </xf>
    <xf numFmtId="0" fontId="156" fillId="4" borderId="157" xfId="0" applyFont="1" applyFill="1" applyBorder="1" applyAlignment="1" applyProtection="1">
      <alignment horizontal="left" vertical="top" wrapText="1"/>
    </xf>
    <xf numFmtId="0" fontId="138" fillId="4" borderId="207" xfId="0" applyFont="1" applyFill="1" applyBorder="1" applyAlignment="1" applyProtection="1">
      <alignment horizontal="left" vertical="top" wrapText="1"/>
    </xf>
    <xf numFmtId="0" fontId="171" fillId="4" borderId="146" xfId="0" applyFont="1" applyFill="1" applyBorder="1" applyAlignment="1" applyProtection="1">
      <alignment horizontal="left" vertical="center"/>
    </xf>
    <xf numFmtId="0" fontId="245" fillId="4" borderId="146" xfId="0" applyFont="1" applyFill="1" applyBorder="1" applyAlignment="1" applyProtection="1">
      <alignment horizontal="left" vertical="center"/>
    </xf>
    <xf numFmtId="0" fontId="177" fillId="4" borderId="63" xfId="0" applyFont="1" applyFill="1" applyBorder="1" applyAlignment="1" applyProtection="1">
      <alignment horizontal="center" vertical="top"/>
    </xf>
    <xf numFmtId="0" fontId="157" fillId="4" borderId="44" xfId="0" applyFont="1" applyFill="1" applyBorder="1" applyAlignment="1" applyProtection="1">
      <alignment horizontal="center" vertical="center"/>
    </xf>
    <xf numFmtId="0" fontId="157" fillId="4" borderId="152" xfId="0" applyFont="1" applyFill="1" applyBorder="1" applyAlignment="1" applyProtection="1">
      <alignment horizontal="left" vertical="center"/>
    </xf>
    <xf numFmtId="0" fontId="138" fillId="4" borderId="152" xfId="0" applyFont="1" applyFill="1" applyBorder="1" applyAlignment="1" applyProtection="1">
      <alignment horizontal="left" vertical="top" wrapText="1"/>
    </xf>
    <xf numFmtId="0" fontId="153" fillId="22" borderId="275" xfId="0" applyFont="1" applyFill="1" applyBorder="1" applyAlignment="1" applyProtection="1">
      <alignment horizontal="center" vertical="center"/>
    </xf>
    <xf numFmtId="0" fontId="153" fillId="22" borderId="276" xfId="0" applyFont="1" applyFill="1" applyBorder="1" applyAlignment="1" applyProtection="1">
      <alignment horizontal="center" vertical="center"/>
    </xf>
    <xf numFmtId="0" fontId="158" fillId="4" borderId="146" xfId="0" applyFont="1" applyFill="1" applyBorder="1" applyAlignment="1" applyProtection="1">
      <alignment horizontal="left" vertical="center"/>
    </xf>
    <xf numFmtId="0" fontId="249" fillId="4" borderId="0" xfId="0" applyFont="1" applyFill="1" applyBorder="1" applyAlignment="1" applyProtection="1">
      <alignment horizontal="left" vertical="top" wrapText="1"/>
    </xf>
    <xf numFmtId="0" fontId="249" fillId="4" borderId="167" xfId="0" applyFont="1" applyFill="1" applyBorder="1" applyAlignment="1" applyProtection="1">
      <alignment horizontal="left" vertical="top" wrapText="1"/>
    </xf>
    <xf numFmtId="0" fontId="156" fillId="4" borderId="228" xfId="0" applyFont="1" applyFill="1" applyBorder="1" applyAlignment="1" applyProtection="1">
      <alignment horizontal="left" vertical="top" wrapText="1"/>
    </xf>
    <xf numFmtId="0" fontId="156" fillId="4" borderId="229" xfId="0" applyFont="1" applyFill="1" applyBorder="1" applyAlignment="1" applyProtection="1">
      <alignment horizontal="left" vertical="top" wrapText="1"/>
    </xf>
    <xf numFmtId="0" fontId="156" fillId="4" borderId="230" xfId="0" applyFont="1" applyFill="1" applyBorder="1" applyAlignment="1" applyProtection="1">
      <alignment horizontal="left" vertical="top" wrapText="1"/>
    </xf>
    <xf numFmtId="0" fontId="220" fillId="4" borderId="232" xfId="0" applyFont="1" applyFill="1" applyBorder="1" applyAlignment="1" applyProtection="1">
      <alignment horizontal="right" vertical="center"/>
    </xf>
    <xf numFmtId="0" fontId="157" fillId="4" borderId="228" xfId="0" applyFont="1" applyFill="1" applyBorder="1" applyAlignment="1" applyProtection="1">
      <alignment horizontal="left" vertical="center"/>
    </xf>
    <xf numFmtId="0" fontId="156" fillId="4" borderId="0" xfId="0" applyFont="1" applyFill="1" applyBorder="1" applyAlignment="1" applyProtection="1">
      <alignment horizontal="center" vertical="center"/>
    </xf>
    <xf numFmtId="0" fontId="21" fillId="4" borderId="0" xfId="0" applyFont="1" applyFill="1" applyBorder="1" applyAlignment="1" applyProtection="1">
      <alignment horizontal="left" vertical="top" wrapText="1"/>
    </xf>
    <xf numFmtId="0" fontId="21" fillId="4" borderId="228" xfId="0" applyFont="1" applyFill="1" applyBorder="1" applyAlignment="1" applyProtection="1">
      <alignment horizontal="left" vertical="top" wrapText="1"/>
    </xf>
    <xf numFmtId="0" fontId="171" fillId="4" borderId="158" xfId="0" applyFont="1" applyFill="1" applyBorder="1" applyAlignment="1" applyProtection="1">
      <alignment horizontal="left" vertical="center"/>
    </xf>
    <xf numFmtId="0" fontId="179" fillId="4" borderId="151" xfId="0" applyFont="1" applyFill="1" applyBorder="1" applyAlignment="1" applyProtection="1">
      <alignment horizontal="right" vertical="center"/>
    </xf>
    <xf numFmtId="0" fontId="21" fillId="4" borderId="152"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152" xfId="0" applyFont="1" applyFill="1" applyBorder="1" applyAlignment="1" applyProtection="1">
      <alignment horizontal="left" vertical="top" wrapText="1"/>
    </xf>
    <xf numFmtId="0" fontId="244" fillId="4" borderId="0" xfId="0" applyFont="1" applyFill="1" applyBorder="1" applyAlignment="1" applyProtection="1">
      <alignment horizontal="left" vertical="top" wrapText="1"/>
    </xf>
    <xf numFmtId="0" fontId="244" fillId="4" borderId="152" xfId="0" applyFont="1" applyFill="1" applyBorder="1" applyAlignment="1" applyProtection="1">
      <alignment horizontal="left" vertical="top" wrapText="1"/>
    </xf>
    <xf numFmtId="0" fontId="241" fillId="4" borderId="0" xfId="0" applyFont="1" applyFill="1" applyBorder="1" applyAlignment="1" applyProtection="1">
      <alignment horizontal="left" vertical="top" wrapText="1"/>
    </xf>
    <xf numFmtId="0" fontId="241" fillId="4" borderId="228" xfId="0" applyFont="1" applyFill="1" applyBorder="1" applyAlignment="1" applyProtection="1">
      <alignment horizontal="left" vertical="top" wrapText="1"/>
    </xf>
    <xf numFmtId="0" fontId="171" fillId="4" borderId="233" xfId="0" applyFont="1" applyFill="1" applyBorder="1" applyAlignment="1" applyProtection="1">
      <alignment horizontal="left" vertical="center"/>
    </xf>
    <xf numFmtId="0" fontId="243" fillId="4" borderId="233" xfId="0" applyFont="1" applyFill="1" applyBorder="1" applyAlignment="1" applyProtection="1">
      <alignment horizontal="left" vertical="center"/>
    </xf>
    <xf numFmtId="0" fontId="156" fillId="4" borderId="63" xfId="0" applyFont="1" applyFill="1" applyBorder="1" applyAlignment="1" applyProtection="1">
      <alignment horizontal="center" vertical="center" wrapText="1"/>
    </xf>
    <xf numFmtId="0" fontId="158" fillId="4" borderId="266" xfId="0" applyFont="1" applyFill="1" applyBorder="1" applyAlignment="1" applyProtection="1">
      <alignment horizontal="left" vertical="center" wrapText="1"/>
    </xf>
    <xf numFmtId="0" fontId="158" fillId="4" borderId="267" xfId="0" applyFont="1" applyFill="1" applyBorder="1" applyAlignment="1" applyProtection="1">
      <alignment horizontal="left" vertical="center" wrapText="1"/>
    </xf>
    <xf numFmtId="0" fontId="153" fillId="25" borderId="266" xfId="0" applyFont="1" applyFill="1" applyBorder="1" applyAlignment="1" applyProtection="1">
      <alignment horizontal="center" vertical="center"/>
    </xf>
    <xf numFmtId="0" fontId="153" fillId="25" borderId="267" xfId="0" applyFont="1" applyFill="1" applyBorder="1" applyAlignment="1" applyProtection="1">
      <alignment horizontal="center" vertical="center"/>
    </xf>
    <xf numFmtId="0" fontId="138" fillId="4" borderId="228" xfId="0" applyFont="1" applyFill="1" applyBorder="1" applyAlignment="1" applyProtection="1">
      <alignment horizontal="left" vertical="top" wrapText="1"/>
    </xf>
    <xf numFmtId="0" fontId="158" fillId="4" borderId="231" xfId="0" applyFont="1" applyFill="1" applyBorder="1" applyAlignment="1" applyProtection="1">
      <alignment horizontal="left" vertical="center"/>
    </xf>
    <xf numFmtId="0" fontId="138" fillId="4" borderId="167" xfId="0" applyFont="1" applyFill="1" applyBorder="1" applyAlignment="1" applyProtection="1">
      <alignment horizontal="left" vertical="top" wrapText="1"/>
    </xf>
    <xf numFmtId="0" fontId="138" fillId="4" borderId="0" xfId="0" applyFont="1" applyFill="1" applyBorder="1" applyAlignment="1" applyProtection="1">
      <alignment horizontal="left" vertical="top"/>
    </xf>
    <xf numFmtId="0" fontId="138" fillId="4" borderId="185" xfId="0" applyFont="1" applyFill="1" applyBorder="1" applyAlignment="1" applyProtection="1">
      <alignment horizontal="left" vertical="top"/>
    </xf>
    <xf numFmtId="0" fontId="156" fillId="4" borderId="174" xfId="0" applyFont="1" applyFill="1" applyBorder="1" applyAlignment="1" applyProtection="1">
      <alignment horizontal="left" vertical="top" wrapText="1"/>
    </xf>
    <xf numFmtId="0" fontId="156" fillId="4" borderId="167" xfId="0" applyFont="1" applyFill="1" applyBorder="1" applyAlignment="1" applyProtection="1">
      <alignment horizontal="left" vertical="top" wrapText="1"/>
    </xf>
    <xf numFmtId="0" fontId="247" fillId="4" borderId="0" xfId="0" applyFont="1" applyFill="1" applyBorder="1" applyAlignment="1" applyProtection="1">
      <alignment horizontal="left" vertical="center" wrapText="1"/>
    </xf>
    <xf numFmtId="0" fontId="247" fillId="4" borderId="174" xfId="0" applyFont="1" applyFill="1" applyBorder="1" applyAlignment="1" applyProtection="1">
      <alignment horizontal="left" vertical="center" wrapText="1"/>
    </xf>
    <xf numFmtId="0" fontId="156" fillId="4" borderId="0" xfId="0" applyFont="1" applyFill="1" applyBorder="1" applyAlignment="1" applyProtection="1">
      <alignment horizontal="center"/>
    </xf>
    <xf numFmtId="0" fontId="156" fillId="4" borderId="0" xfId="0" applyFont="1" applyFill="1" applyBorder="1" applyAlignment="1" applyProtection="1">
      <alignment horizontal="left" vertical="top"/>
    </xf>
    <xf numFmtId="0" fontId="156" fillId="4" borderId="185" xfId="0" applyFont="1" applyFill="1" applyBorder="1" applyAlignment="1" applyProtection="1">
      <alignment horizontal="left" vertical="top"/>
    </xf>
    <xf numFmtId="0" fontId="158" fillId="4" borderId="63" xfId="0" applyFont="1" applyFill="1" applyBorder="1" applyAlignment="1" applyProtection="1">
      <alignment horizontal="center" vertical="center"/>
    </xf>
    <xf numFmtId="0" fontId="155" fillId="4" borderId="141" xfId="0" applyFont="1" applyFill="1" applyBorder="1" applyAlignment="1" applyProtection="1">
      <alignment horizontal="right" vertical="center"/>
    </xf>
    <xf numFmtId="0" fontId="13" fillId="4" borderId="152" xfId="0" applyFont="1" applyFill="1" applyBorder="1" applyAlignment="1" applyProtection="1">
      <alignment horizontal="left" vertical="center" wrapText="1"/>
    </xf>
    <xf numFmtId="0" fontId="138" fillId="4" borderId="156" xfId="0" applyFont="1" applyFill="1" applyBorder="1" applyAlignment="1" applyProtection="1">
      <alignment horizontal="left" vertical="top" wrapText="1"/>
    </xf>
    <xf numFmtId="0" fontId="138" fillId="4" borderId="157" xfId="0" applyFont="1" applyFill="1" applyBorder="1" applyAlignment="1" applyProtection="1">
      <alignment horizontal="left" vertical="top" wrapText="1"/>
    </xf>
    <xf numFmtId="0" fontId="156" fillId="4" borderId="44" xfId="0" applyFont="1" applyFill="1" applyBorder="1" applyAlignment="1" applyProtection="1">
      <alignment horizontal="center" vertical="center" wrapText="1"/>
    </xf>
    <xf numFmtId="0" fontId="174" fillId="4" borderId="136" xfId="0" applyFont="1" applyFill="1" applyBorder="1" applyAlignment="1" applyProtection="1">
      <alignment horizontal="left" vertical="center"/>
    </xf>
    <xf numFmtId="0" fontId="138" fillId="4" borderId="142" xfId="0" applyFont="1" applyFill="1" applyBorder="1" applyAlignment="1" applyProtection="1">
      <alignment horizontal="left" vertical="top" wrapText="1"/>
    </xf>
    <xf numFmtId="0" fontId="181" fillId="4" borderId="0" xfId="0" applyFont="1" applyFill="1" applyBorder="1" applyAlignment="1" applyProtection="1">
      <alignment horizontal="left" vertical="top" wrapText="1"/>
    </xf>
    <xf numFmtId="0" fontId="181" fillId="4" borderId="142" xfId="0" applyFont="1" applyFill="1" applyBorder="1" applyAlignment="1" applyProtection="1">
      <alignment horizontal="left" vertical="top" wrapText="1"/>
    </xf>
    <xf numFmtId="0" fontId="245" fillId="4" borderId="155" xfId="0" applyFont="1" applyFill="1" applyBorder="1" applyAlignment="1" applyProtection="1">
      <alignment horizontal="left" vertical="center"/>
    </xf>
    <xf numFmtId="0" fontId="246" fillId="4" borderId="158" xfId="0" applyFont="1" applyFill="1" applyBorder="1" applyAlignment="1" applyProtection="1">
      <alignment horizontal="left" vertical="center"/>
    </xf>
    <xf numFmtId="0" fontId="156" fillId="4" borderId="207" xfId="0" applyFont="1" applyFill="1" applyBorder="1" applyAlignment="1" applyProtection="1">
      <alignment horizontal="left" vertical="top" wrapText="1"/>
    </xf>
    <xf numFmtId="0" fontId="173" fillId="4" borderId="141" xfId="0" applyFont="1" applyFill="1" applyBorder="1" applyAlignment="1" applyProtection="1">
      <alignment horizontal="center" vertical="center" wrapText="1"/>
    </xf>
    <xf numFmtId="0" fontId="155" fillId="4" borderId="141" xfId="0" applyFont="1" applyFill="1" applyBorder="1" applyAlignment="1" applyProtection="1">
      <alignment horizontal="right" vertical="center" wrapText="1"/>
    </xf>
    <xf numFmtId="0" fontId="138" fillId="4" borderId="183" xfId="0" applyFont="1" applyFill="1" applyBorder="1" applyAlignment="1" applyProtection="1">
      <alignment horizontal="left" vertical="top" wrapText="1"/>
    </xf>
    <xf numFmtId="0" fontId="138" fillId="4" borderId="184" xfId="0" applyFont="1" applyFill="1" applyBorder="1" applyAlignment="1" applyProtection="1">
      <alignment horizontal="left" vertical="top" wrapText="1"/>
    </xf>
    <xf numFmtId="0" fontId="138" fillId="4" borderId="144" xfId="0" applyFont="1" applyFill="1" applyBorder="1" applyAlignment="1" applyProtection="1">
      <alignment horizontal="left" vertical="top" wrapText="1"/>
    </xf>
    <xf numFmtId="0" fontId="138" fillId="4" borderId="145" xfId="0" applyFont="1" applyFill="1" applyBorder="1" applyAlignment="1" applyProtection="1">
      <alignment horizontal="left" vertical="top" wrapText="1"/>
    </xf>
    <xf numFmtId="0" fontId="171" fillId="4" borderId="63" xfId="0" applyFont="1" applyFill="1" applyBorder="1" applyAlignment="1" applyProtection="1">
      <alignment horizontal="center" vertical="center"/>
    </xf>
    <xf numFmtId="0" fontId="171" fillId="4" borderId="0" xfId="0" applyFont="1" applyFill="1" applyBorder="1" applyAlignment="1" applyProtection="1">
      <alignment horizontal="center" vertical="top" wrapText="1"/>
    </xf>
    <xf numFmtId="0" fontId="171" fillId="4" borderId="0" xfId="0" applyFont="1" applyFill="1" applyBorder="1" applyAlignment="1" applyProtection="1">
      <alignment horizontal="center" vertical="center"/>
    </xf>
    <xf numFmtId="0" fontId="15" fillId="4" borderId="0" xfId="0" applyFont="1" applyFill="1" applyBorder="1" applyAlignment="1" applyProtection="1">
      <alignment horizontal="left" vertical="top" wrapText="1"/>
    </xf>
    <xf numFmtId="0" fontId="15" fillId="4" borderId="185" xfId="0" applyFont="1" applyFill="1" applyBorder="1" applyAlignment="1" applyProtection="1">
      <alignment horizontal="left" vertical="top" wrapText="1"/>
    </xf>
    <xf numFmtId="0" fontId="15" fillId="4" borderId="183" xfId="0" applyFont="1" applyFill="1" applyBorder="1" applyAlignment="1" applyProtection="1">
      <alignment horizontal="left" vertical="top" wrapText="1"/>
    </xf>
    <xf numFmtId="0" fontId="15" fillId="4" borderId="184" xfId="0" applyFont="1" applyFill="1" applyBorder="1" applyAlignment="1" applyProtection="1">
      <alignment horizontal="left" vertical="top" wrapText="1"/>
    </xf>
    <xf numFmtId="0" fontId="145" fillId="4" borderId="0" xfId="0" applyFont="1" applyFill="1" applyBorder="1" applyAlignment="1" applyProtection="1">
      <alignment horizontal="center" vertical="center" wrapText="1"/>
    </xf>
    <xf numFmtId="0" fontId="158" fillId="4" borderId="155" xfId="0" applyFont="1" applyFill="1" applyBorder="1" applyAlignment="1" applyProtection="1">
      <alignment horizontal="left" vertical="center"/>
    </xf>
    <xf numFmtId="0" fontId="15" fillId="4" borderId="142" xfId="0" applyFont="1" applyFill="1" applyBorder="1" applyAlignment="1" applyProtection="1">
      <alignment horizontal="left" vertical="top" wrapText="1"/>
    </xf>
    <xf numFmtId="0" fontId="138" fillId="4" borderId="174" xfId="0" applyFont="1" applyFill="1" applyBorder="1" applyAlignment="1" applyProtection="1">
      <alignment horizontal="left" vertical="top" wrapText="1"/>
    </xf>
    <xf numFmtId="0" fontId="148" fillId="4" borderId="168" xfId="0" applyFont="1" applyFill="1" applyBorder="1" applyAlignment="1" applyProtection="1">
      <alignment horizontal="left" vertical="center"/>
    </xf>
    <xf numFmtId="0" fontId="229" fillId="4" borderId="192" xfId="0" applyFont="1" applyFill="1" applyBorder="1" applyAlignment="1" applyProtection="1">
      <alignment horizontal="left" vertical="top" wrapText="1"/>
    </xf>
    <xf numFmtId="0" fontId="229" fillId="4" borderId="0" xfId="0" applyFont="1" applyFill="1" applyBorder="1" applyAlignment="1" applyProtection="1">
      <alignment horizontal="left" vertical="top" wrapText="1"/>
    </xf>
    <xf numFmtId="0" fontId="229" fillId="4" borderId="193" xfId="0" applyFont="1" applyFill="1" applyBorder="1" applyAlignment="1" applyProtection="1">
      <alignment horizontal="left" vertical="top" wrapText="1"/>
    </xf>
    <xf numFmtId="0" fontId="229" fillId="4" borderId="272" xfId="0" applyFont="1" applyFill="1" applyBorder="1" applyAlignment="1" applyProtection="1">
      <alignment horizontal="left" vertical="top" wrapText="1"/>
    </xf>
    <xf numFmtId="0" fontId="229" fillId="4" borderId="273" xfId="0" applyFont="1" applyFill="1" applyBorder="1" applyAlignment="1" applyProtection="1">
      <alignment horizontal="left" vertical="top" wrapText="1"/>
    </xf>
    <xf numFmtId="0" fontId="229" fillId="4" borderId="274" xfId="0" applyFont="1" applyFill="1" applyBorder="1" applyAlignment="1" applyProtection="1">
      <alignment horizontal="left" vertical="top" wrapText="1"/>
    </xf>
    <xf numFmtId="0" fontId="49" fillId="4" borderId="192"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192" xfId="0" applyFont="1" applyFill="1" applyBorder="1" applyAlignment="1" applyProtection="1">
      <alignment horizontal="left" vertical="center" wrapText="1"/>
    </xf>
    <xf numFmtId="0" fontId="13" fillId="4" borderId="193" xfId="0" applyFont="1" applyFill="1" applyBorder="1" applyAlignment="1" applyProtection="1">
      <alignment horizontal="left" vertical="center" wrapText="1"/>
    </xf>
    <xf numFmtId="0" fontId="156" fillId="4" borderId="183" xfId="0" applyFont="1" applyFill="1" applyBorder="1" applyAlignment="1" applyProtection="1">
      <alignment horizontal="left" vertical="top" wrapText="1"/>
    </xf>
    <xf numFmtId="0" fontId="156" fillId="4" borderId="184" xfId="0" applyFont="1" applyFill="1" applyBorder="1" applyAlignment="1" applyProtection="1">
      <alignment horizontal="left" vertical="top" wrapText="1"/>
    </xf>
    <xf numFmtId="0" fontId="13" fillId="4" borderId="192" xfId="0" applyFont="1" applyFill="1" applyBorder="1" applyAlignment="1" applyProtection="1">
      <alignment horizontal="left" vertical="top" wrapText="1"/>
    </xf>
    <xf numFmtId="0" fontId="13" fillId="4" borderId="0" xfId="0" applyFont="1" applyFill="1" applyBorder="1" applyAlignment="1" applyProtection="1">
      <alignment horizontal="left" vertical="top" wrapText="1"/>
    </xf>
    <xf numFmtId="0" fontId="13" fillId="4" borderId="193" xfId="0" applyFont="1" applyFill="1" applyBorder="1" applyAlignment="1" applyProtection="1">
      <alignment horizontal="left" vertical="top" wrapText="1"/>
    </xf>
    <xf numFmtId="0" fontId="145" fillId="4" borderId="44" xfId="0" applyFont="1" applyFill="1" applyBorder="1" applyAlignment="1" applyProtection="1">
      <alignment horizontal="center" vertical="center"/>
    </xf>
    <xf numFmtId="0" fontId="145" fillId="4" borderId="0" xfId="0" applyFont="1" applyFill="1" applyBorder="1" applyAlignment="1" applyProtection="1">
      <alignment horizontal="center" vertical="top"/>
    </xf>
    <xf numFmtId="0" fontId="145" fillId="4" borderId="192" xfId="0" applyFont="1" applyFill="1" applyBorder="1" applyAlignment="1" applyProtection="1">
      <alignment horizontal="center" vertical="center"/>
    </xf>
    <xf numFmtId="0" fontId="145" fillId="4" borderId="0" xfId="0" applyFont="1" applyFill="1" applyBorder="1" applyAlignment="1" applyProtection="1">
      <alignment horizontal="center" vertical="center"/>
    </xf>
    <xf numFmtId="0" fontId="145" fillId="4" borderId="193" xfId="0" applyFont="1" applyFill="1" applyBorder="1" applyAlignment="1" applyProtection="1">
      <alignment horizontal="center" vertical="center"/>
    </xf>
    <xf numFmtId="0" fontId="145" fillId="4" borderId="192" xfId="0" applyFont="1" applyFill="1" applyBorder="1" applyAlignment="1" applyProtection="1">
      <alignment horizontal="left" vertical="top" wrapText="1"/>
    </xf>
    <xf numFmtId="0" fontId="145" fillId="4" borderId="0" xfId="0" applyFont="1" applyFill="1" applyBorder="1" applyAlignment="1" applyProtection="1">
      <alignment horizontal="left" vertical="top" wrapText="1"/>
    </xf>
    <xf numFmtId="0" fontId="145" fillId="4" borderId="193" xfId="0" applyFont="1" applyFill="1" applyBorder="1" applyAlignment="1" applyProtection="1">
      <alignment horizontal="left" vertical="top" wrapText="1"/>
    </xf>
    <xf numFmtId="0" fontId="171" fillId="4" borderId="63" xfId="0" applyFont="1" applyFill="1" applyBorder="1" applyAlignment="1" applyProtection="1">
      <alignment horizontal="center" vertical="top"/>
    </xf>
    <xf numFmtId="0" fontId="171" fillId="4" borderId="44" xfId="0" applyFont="1" applyFill="1" applyBorder="1" applyAlignment="1" applyProtection="1">
      <alignment horizontal="center"/>
    </xf>
    <xf numFmtId="0" fontId="158" fillId="4" borderId="44" xfId="0" applyFont="1" applyFill="1" applyBorder="1" applyAlignment="1" applyProtection="1">
      <alignment horizontal="center" vertical="center"/>
    </xf>
    <xf numFmtId="0" fontId="153" fillId="20" borderId="264" xfId="0" applyFont="1" applyFill="1" applyBorder="1" applyAlignment="1" applyProtection="1">
      <alignment horizontal="center" vertical="center"/>
    </xf>
    <xf numFmtId="0" fontId="153" fillId="20" borderId="265" xfId="0" applyFont="1" applyFill="1" applyBorder="1" applyAlignment="1" applyProtection="1">
      <alignment horizontal="center" vertical="center"/>
    </xf>
    <xf numFmtId="0" fontId="156" fillId="4" borderId="142" xfId="0" applyFont="1" applyFill="1" applyBorder="1" applyAlignment="1" applyProtection="1">
      <alignment horizontal="left" vertical="top" wrapText="1"/>
    </xf>
    <xf numFmtId="0" fontId="171" fillId="4" borderId="63" xfId="0" applyFont="1" applyFill="1" applyBorder="1" applyAlignment="1" applyProtection="1">
      <alignment horizontal="center" vertical="top" wrapText="1"/>
    </xf>
    <xf numFmtId="0" fontId="171" fillId="4" borderId="147" xfId="0" applyFont="1" applyFill="1" applyBorder="1" applyAlignment="1" applyProtection="1">
      <alignment horizontal="left" vertical="center"/>
    </xf>
    <xf numFmtId="0" fontId="171" fillId="4" borderId="0" xfId="0" applyFont="1" applyFill="1" applyBorder="1" applyAlignment="1" applyProtection="1">
      <alignment horizontal="center" vertical="top"/>
    </xf>
    <xf numFmtId="0" fontId="156" fillId="4" borderId="144" xfId="0" applyFont="1" applyFill="1" applyBorder="1" applyAlignment="1" applyProtection="1">
      <alignment horizontal="left" vertical="top" wrapText="1"/>
    </xf>
    <xf numFmtId="0" fontId="156" fillId="4" borderId="145" xfId="0" applyFont="1" applyFill="1" applyBorder="1" applyAlignment="1" applyProtection="1">
      <alignment horizontal="left" vertical="top" wrapText="1"/>
    </xf>
    <xf numFmtId="0" fontId="158" fillId="4" borderId="136" xfId="0" applyFont="1" applyFill="1" applyBorder="1" applyAlignment="1" applyProtection="1">
      <alignment horizontal="left" vertical="center"/>
    </xf>
    <xf numFmtId="0" fontId="171" fillId="4" borderId="136" xfId="0" applyFont="1" applyFill="1" applyBorder="1" applyAlignment="1" applyProtection="1">
      <alignment horizontal="left" vertical="center"/>
    </xf>
    <xf numFmtId="0" fontId="158" fillId="4" borderId="0" xfId="0" applyFont="1" applyFill="1" applyBorder="1" applyAlignment="1" applyProtection="1">
      <alignment horizontal="left"/>
    </xf>
    <xf numFmtId="0" fontId="157" fillId="4" borderId="0" xfId="0" applyFont="1" applyFill="1" applyBorder="1" applyAlignment="1" applyProtection="1">
      <alignment horizontal="left" vertical="top" wrapText="1"/>
    </xf>
    <xf numFmtId="0" fontId="157" fillId="4" borderId="0" xfId="0" applyFont="1" applyFill="1" applyBorder="1" applyAlignment="1" applyProtection="1">
      <alignment horizontal="left" vertical="top"/>
    </xf>
    <xf numFmtId="0" fontId="156" fillId="4" borderId="0" xfId="0" applyFont="1" applyFill="1" applyBorder="1" applyAlignment="1" applyProtection="1">
      <alignment horizontal="left" vertical="center" wrapText="1"/>
    </xf>
    <xf numFmtId="0" fontId="156" fillId="4" borderId="142" xfId="0" applyFont="1" applyFill="1" applyBorder="1" applyAlignment="1" applyProtection="1">
      <alignment horizontal="left" vertical="center" wrapText="1"/>
    </xf>
    <xf numFmtId="0" fontId="158" fillId="4" borderId="0" xfId="0" applyFont="1" applyFill="1" applyBorder="1" applyAlignment="1" applyProtection="1">
      <alignment horizontal="left" vertical="center"/>
    </xf>
    <xf numFmtId="0" fontId="171" fillId="4" borderId="44" xfId="0" applyFont="1" applyFill="1" applyBorder="1" applyAlignment="1" applyProtection="1">
      <alignment horizontal="center" vertical="top"/>
    </xf>
    <xf numFmtId="0" fontId="138" fillId="4" borderId="0" xfId="0" quotePrefix="1" applyFont="1" applyFill="1" applyBorder="1" applyAlignment="1" applyProtection="1">
      <alignment horizontal="left" vertical="top" wrapText="1"/>
    </xf>
    <xf numFmtId="0" fontId="173" fillId="4" borderId="141" xfId="0" applyFont="1" applyFill="1" applyBorder="1" applyAlignment="1" applyProtection="1">
      <alignment horizontal="center" vertical="top" wrapText="1"/>
    </xf>
    <xf numFmtId="0" fontId="177" fillId="4" borderId="0" xfId="0" applyFont="1" applyFill="1" applyBorder="1" applyAlignment="1" applyProtection="1">
      <alignment horizontal="left" vertical="top" wrapText="1"/>
    </xf>
    <xf numFmtId="0" fontId="199" fillId="4" borderId="0" xfId="0" applyFont="1" applyFill="1" applyBorder="1" applyAlignment="1" applyProtection="1">
      <alignment horizontal="right" vertical="center" wrapText="1"/>
    </xf>
    <xf numFmtId="0" fontId="171" fillId="4" borderId="0" xfId="0" applyFont="1" applyFill="1" applyBorder="1" applyAlignment="1" applyProtection="1">
      <alignment horizontal="center" vertical="center" wrapText="1"/>
    </xf>
    <xf numFmtId="0" fontId="156" fillId="4" borderId="142" xfId="0" applyFont="1" applyFill="1" applyBorder="1" applyAlignment="1" applyProtection="1">
      <alignment horizontal="left" vertical="top"/>
    </xf>
    <xf numFmtId="0" fontId="179" fillId="4" borderId="208" xfId="0" applyFont="1" applyFill="1" applyBorder="1" applyAlignment="1" applyProtection="1">
      <alignment horizontal="right" vertical="center"/>
    </xf>
    <xf numFmtId="0" fontId="157" fillId="4" borderId="207" xfId="0" applyFont="1" applyFill="1" applyBorder="1" applyAlignment="1" applyProtection="1">
      <alignment horizontal="left" vertical="center"/>
    </xf>
    <xf numFmtId="0" fontId="171" fillId="4" borderId="155" xfId="0" applyFont="1" applyFill="1" applyBorder="1" applyAlignment="1" applyProtection="1">
      <alignment horizontal="left" vertical="center"/>
    </xf>
    <xf numFmtId="0" fontId="153" fillId="22" borderId="268" xfId="0" applyFont="1" applyFill="1" applyBorder="1" applyAlignment="1" applyProtection="1">
      <alignment horizontal="center" vertical="center"/>
    </xf>
    <xf numFmtId="0" fontId="153" fillId="22" borderId="269" xfId="0" applyFont="1" applyFill="1" applyBorder="1" applyAlignment="1" applyProtection="1">
      <alignment horizontal="center" vertical="center"/>
    </xf>
    <xf numFmtId="0" fontId="244" fillId="4" borderId="207" xfId="0" applyFont="1" applyFill="1" applyBorder="1" applyAlignment="1" applyProtection="1">
      <alignment horizontal="left" vertical="top" wrapText="1"/>
    </xf>
    <xf numFmtId="0" fontId="157" fillId="4" borderId="174" xfId="0" applyFont="1" applyFill="1" applyBorder="1" applyAlignment="1" applyProtection="1">
      <alignment horizontal="left" vertical="center"/>
    </xf>
    <xf numFmtId="0" fontId="248" fillId="4" borderId="0" xfId="0" applyFont="1" applyFill="1" applyAlignment="1" applyProtection="1">
      <alignment horizontal="left" vertical="center" wrapText="1"/>
    </xf>
    <xf numFmtId="0" fontId="156" fillId="4" borderId="279" xfId="0" applyFont="1" applyFill="1" applyBorder="1" applyAlignment="1" applyProtection="1">
      <alignment horizontal="left" vertical="top" wrapText="1"/>
    </xf>
    <xf numFmtId="0" fontId="156" fillId="4" borderId="280" xfId="0" applyFont="1" applyFill="1" applyBorder="1" applyAlignment="1" applyProtection="1">
      <alignment horizontal="left" vertical="top" wrapText="1"/>
    </xf>
    <xf numFmtId="0" fontId="138" fillId="4" borderId="279" xfId="0" applyFont="1" applyFill="1" applyBorder="1" applyAlignment="1" applyProtection="1">
      <alignment horizontal="left" vertical="top" wrapText="1"/>
    </xf>
    <xf numFmtId="0" fontId="138" fillId="4" borderId="280" xfId="0" applyFont="1" applyFill="1" applyBorder="1" applyAlignment="1" applyProtection="1">
      <alignment horizontal="left" vertical="top" wrapText="1"/>
    </xf>
    <xf numFmtId="0" fontId="156" fillId="4" borderId="168" xfId="0" applyFont="1" applyFill="1" applyBorder="1" applyAlignment="1" applyProtection="1">
      <alignment horizontal="left" vertical="center"/>
    </xf>
    <xf numFmtId="0" fontId="158" fillId="4" borderId="158" xfId="0" applyFont="1" applyFill="1" applyBorder="1" applyAlignment="1" applyProtection="1">
      <alignment horizontal="left" vertical="center"/>
    </xf>
    <xf numFmtId="0" fontId="145" fillId="4" borderId="40" xfId="0" applyFont="1" applyFill="1" applyBorder="1" applyAlignment="1" applyProtection="1">
      <alignment horizontal="center" vertical="center"/>
      <protection locked="0"/>
    </xf>
    <xf numFmtId="0" fontId="145" fillId="4" borderId="99" xfId="0" applyFont="1" applyFill="1" applyBorder="1" applyAlignment="1" applyProtection="1">
      <alignment horizontal="center" vertical="center"/>
      <protection locked="0"/>
    </xf>
    <xf numFmtId="0" fontId="145" fillId="4" borderId="75" xfId="0" applyFont="1" applyFill="1" applyBorder="1" applyAlignment="1" applyProtection="1">
      <alignment horizontal="center" vertical="center"/>
      <protection locked="0"/>
    </xf>
    <xf numFmtId="0" fontId="143" fillId="4" borderId="0" xfId="0" applyFont="1" applyFill="1" applyBorder="1" applyAlignment="1" applyProtection="1">
      <alignment horizontal="center" vertical="center"/>
    </xf>
    <xf numFmtId="0" fontId="159" fillId="4" borderId="78" xfId="0" applyFont="1" applyFill="1" applyBorder="1" applyAlignment="1" applyProtection="1">
      <alignment horizontal="center" vertical="center"/>
    </xf>
    <xf numFmtId="0" fontId="159" fillId="4" borderId="46" xfId="0" applyFont="1" applyFill="1" applyBorder="1" applyAlignment="1" applyProtection="1">
      <alignment horizontal="center" vertical="center"/>
    </xf>
    <xf numFmtId="0" fontId="159" fillId="4" borderId="47" xfId="0" applyFont="1" applyFill="1" applyBorder="1" applyAlignment="1" applyProtection="1">
      <alignment horizontal="center" vertical="center"/>
    </xf>
    <xf numFmtId="0" fontId="22" fillId="4" borderId="60" xfId="0" applyFont="1" applyFill="1" applyBorder="1" applyAlignment="1" applyProtection="1">
      <alignment horizontal="center" vertical="center"/>
    </xf>
    <xf numFmtId="0" fontId="22" fillId="4" borderId="59" xfId="0" applyFont="1" applyFill="1" applyBorder="1" applyAlignment="1" applyProtection="1">
      <alignment horizontal="center" vertical="center"/>
    </xf>
    <xf numFmtId="0" fontId="159" fillId="11" borderId="44" xfId="0" applyFont="1" applyFill="1" applyBorder="1" applyAlignment="1" applyProtection="1">
      <alignment horizontal="center" vertical="center"/>
    </xf>
    <xf numFmtId="0" fontId="22" fillId="4" borderId="1" xfId="0" applyFont="1" applyFill="1" applyBorder="1" applyAlignment="1" applyProtection="1">
      <alignment horizontal="center" vertical="center" wrapText="1"/>
    </xf>
    <xf numFmtId="0" fontId="54" fillId="4" borderId="1" xfId="0" applyFont="1" applyFill="1" applyBorder="1" applyAlignment="1" applyProtection="1">
      <alignment horizontal="center" vertical="center"/>
    </xf>
    <xf numFmtId="0" fontId="251" fillId="11" borderId="1" xfId="0" applyFont="1" applyFill="1" applyBorder="1" applyAlignment="1" applyProtection="1">
      <alignment horizontal="center" vertical="center"/>
    </xf>
    <xf numFmtId="0" fontId="252" fillId="11" borderId="1" xfId="0" applyFont="1" applyFill="1" applyBorder="1" applyAlignment="1" applyProtection="1">
      <alignment horizontal="center" vertical="center" wrapText="1"/>
    </xf>
    <xf numFmtId="0" fontId="22" fillId="11" borderId="60" xfId="0" applyFont="1" applyFill="1" applyBorder="1" applyAlignment="1" applyProtection="1">
      <alignment horizontal="center" vertical="center"/>
    </xf>
    <xf numFmtId="0" fontId="22" fillId="11" borderId="59" xfId="0" applyFont="1" applyFill="1" applyBorder="1" applyAlignment="1" applyProtection="1">
      <alignment horizontal="center" vertical="center"/>
    </xf>
    <xf numFmtId="0" fontId="157" fillId="11" borderId="2" xfId="0" applyFont="1" applyFill="1" applyBorder="1" applyAlignment="1" applyProtection="1">
      <alignment horizontal="center" vertical="center" wrapText="1"/>
    </xf>
    <xf numFmtId="0" fontId="157" fillId="11" borderId="3" xfId="0" applyFont="1" applyFill="1" applyBorder="1" applyAlignment="1" applyProtection="1">
      <alignment horizontal="center" vertical="center" wrapText="1"/>
    </xf>
    <xf numFmtId="0" fontId="157" fillId="11" borderId="49" xfId="0" applyFont="1" applyFill="1" applyBorder="1" applyAlignment="1" applyProtection="1">
      <alignment horizontal="center" vertical="center" wrapText="1"/>
    </xf>
    <xf numFmtId="1" fontId="258" fillId="4" borderId="2" xfId="1" applyNumberFormat="1" applyFont="1" applyFill="1" applyBorder="1" applyAlignment="1" applyProtection="1">
      <alignment horizontal="center" vertical="center" wrapText="1"/>
    </xf>
    <xf numFmtId="1" fontId="258" fillId="4" borderId="3" xfId="1" applyNumberFormat="1" applyFont="1" applyFill="1" applyBorder="1" applyAlignment="1" applyProtection="1">
      <alignment horizontal="center" vertical="center" wrapText="1"/>
    </xf>
    <xf numFmtId="1" fontId="258" fillId="4" borderId="49" xfId="1" applyNumberFormat="1" applyFont="1" applyFill="1" applyBorder="1" applyAlignment="1" applyProtection="1">
      <alignment horizontal="center" vertical="center" wrapText="1"/>
    </xf>
    <xf numFmtId="0" fontId="49" fillId="4" borderId="2" xfId="0" applyFont="1" applyFill="1" applyBorder="1" applyAlignment="1" applyProtection="1">
      <alignment horizontal="center" vertical="center" wrapText="1"/>
    </xf>
    <xf numFmtId="0" fontId="49" fillId="4" borderId="3" xfId="0" applyFont="1" applyFill="1" applyBorder="1" applyAlignment="1" applyProtection="1">
      <alignment horizontal="center" vertical="center" wrapText="1"/>
    </xf>
    <xf numFmtId="0" fontId="49" fillId="4" borderId="49" xfId="0" applyFont="1" applyFill="1" applyBorder="1" applyAlignment="1" applyProtection="1">
      <alignment horizontal="center" vertical="center" wrapText="1"/>
    </xf>
    <xf numFmtId="0" fontId="251" fillId="11" borderId="78" xfId="0" applyFont="1" applyFill="1" applyBorder="1" applyAlignment="1" applyProtection="1">
      <alignment horizontal="center" vertical="center"/>
    </xf>
    <xf numFmtId="0" fontId="251" fillId="11" borderId="46" xfId="0" applyFont="1" applyFill="1" applyBorder="1" applyAlignment="1" applyProtection="1">
      <alignment horizontal="center" vertical="center"/>
    </xf>
    <xf numFmtId="0" fontId="251" fillId="11" borderId="47" xfId="0" applyFont="1" applyFill="1" applyBorder="1" applyAlignment="1" applyProtection="1">
      <alignment horizontal="center" vertical="center"/>
    </xf>
    <xf numFmtId="0" fontId="156" fillId="4" borderId="0" xfId="0" applyFont="1" applyFill="1" applyAlignment="1" applyProtection="1">
      <alignment horizontal="center" vertical="center" wrapText="1"/>
    </xf>
    <xf numFmtId="0" fontId="157" fillId="4" borderId="1" xfId="0" applyFont="1" applyFill="1" applyBorder="1" applyAlignment="1" applyProtection="1">
      <alignment horizontal="left" vertical="center"/>
    </xf>
    <xf numFmtId="0" fontId="163" fillId="4" borderId="2" xfId="0" applyFont="1" applyFill="1" applyBorder="1" applyAlignment="1" applyProtection="1">
      <alignment horizontal="center" vertical="center" wrapText="1"/>
    </xf>
    <xf numFmtId="0" fontId="163" fillId="4" borderId="49" xfId="0" applyFont="1" applyFill="1" applyBorder="1" applyAlignment="1" applyProtection="1">
      <alignment horizontal="center" vertical="center" wrapText="1"/>
    </xf>
    <xf numFmtId="0" fontId="159" fillId="4" borderId="1" xfId="0" applyFont="1" applyFill="1" applyBorder="1" applyAlignment="1" applyProtection="1">
      <alignment horizontal="center" vertical="center"/>
    </xf>
    <xf numFmtId="0" fontId="163" fillId="4" borderId="77" xfId="0" applyFont="1" applyFill="1" applyBorder="1" applyAlignment="1" applyProtection="1">
      <alignment horizontal="center" vertical="center" wrapText="1"/>
    </xf>
    <xf numFmtId="0" fontId="163" fillId="4" borderId="85" xfId="0" applyFont="1" applyFill="1" applyBorder="1" applyAlignment="1" applyProtection="1">
      <alignment horizontal="center" vertical="center" wrapText="1"/>
    </xf>
    <xf numFmtId="0" fontId="138" fillId="4" borderId="0" xfId="0" applyFont="1" applyFill="1" applyBorder="1" applyAlignment="1" applyProtection="1">
      <alignment horizontal="center" vertical="center" wrapText="1"/>
    </xf>
    <xf numFmtId="1" fontId="250" fillId="4" borderId="2" xfId="1" applyNumberFormat="1" applyFont="1" applyFill="1" applyBorder="1" applyAlignment="1" applyProtection="1">
      <alignment horizontal="center" vertical="center" wrapText="1"/>
      <protection locked="0"/>
    </xf>
    <xf numFmtId="1" fontId="250" fillId="4" borderId="3" xfId="1" applyNumberFormat="1" applyFont="1" applyFill="1" applyBorder="1" applyAlignment="1" applyProtection="1">
      <alignment horizontal="center" vertical="center" wrapText="1"/>
      <protection locked="0"/>
    </xf>
    <xf numFmtId="1" fontId="250" fillId="4" borderId="49" xfId="1" applyNumberFormat="1" applyFont="1" applyFill="1" applyBorder="1" applyAlignment="1" applyProtection="1">
      <alignment horizontal="center" vertical="center" wrapText="1"/>
      <protection locked="0"/>
    </xf>
    <xf numFmtId="0" fontId="143" fillId="4" borderId="42" xfId="0" applyFont="1" applyFill="1" applyBorder="1" applyAlignment="1" applyProtection="1">
      <alignment horizontal="center" vertical="center"/>
      <protection locked="0"/>
    </xf>
    <xf numFmtId="0" fontId="143" fillId="4" borderId="98" xfId="0" applyFont="1" applyFill="1" applyBorder="1" applyAlignment="1" applyProtection="1">
      <alignment horizontal="center" vertical="center"/>
      <protection locked="0"/>
    </xf>
    <xf numFmtId="0" fontId="143" fillId="4" borderId="100" xfId="0" applyFont="1" applyFill="1" applyBorder="1" applyAlignment="1" applyProtection="1">
      <alignment horizontal="center" vertical="center"/>
      <protection locked="0"/>
    </xf>
    <xf numFmtId="0" fontId="143" fillId="4" borderId="40" xfId="0" applyFont="1" applyFill="1" applyBorder="1" applyAlignment="1" applyProtection="1">
      <alignment horizontal="center" vertical="center"/>
      <protection locked="0"/>
    </xf>
    <xf numFmtId="0" fontId="143" fillId="4" borderId="99" xfId="0" applyFont="1" applyFill="1" applyBorder="1" applyAlignment="1" applyProtection="1">
      <alignment horizontal="center" vertical="center"/>
      <protection locked="0"/>
    </xf>
    <xf numFmtId="0" fontId="143" fillId="4" borderId="75" xfId="0" applyFont="1" applyFill="1" applyBorder="1" applyAlignment="1" applyProtection="1">
      <alignment horizontal="center" vertical="center"/>
      <protection locked="0"/>
    </xf>
    <xf numFmtId="0" fontId="158" fillId="4" borderId="2" xfId="0" applyFont="1" applyFill="1" applyBorder="1" applyAlignment="1" applyProtection="1">
      <alignment horizontal="center" vertical="center" wrapText="1"/>
    </xf>
    <xf numFmtId="0" fontId="158" fillId="4" borderId="3" xfId="0" applyFont="1" applyFill="1" applyBorder="1" applyAlignment="1" applyProtection="1">
      <alignment horizontal="center" vertical="center" wrapText="1"/>
    </xf>
    <xf numFmtId="0" fontId="158" fillId="4" borderId="49" xfId="0" applyFont="1" applyFill="1" applyBorder="1" applyAlignment="1" applyProtection="1">
      <alignment horizontal="center" vertical="center" wrapText="1"/>
    </xf>
    <xf numFmtId="0" fontId="145" fillId="4" borderId="42" xfId="0" applyFont="1" applyFill="1" applyBorder="1" applyAlignment="1" applyProtection="1">
      <alignment horizontal="center" vertical="center"/>
      <protection locked="0"/>
    </xf>
    <xf numFmtId="0" fontId="145" fillId="4" borderId="98" xfId="0" applyFont="1" applyFill="1" applyBorder="1" applyAlignment="1" applyProtection="1">
      <alignment horizontal="center" vertical="center"/>
      <protection locked="0"/>
    </xf>
    <xf numFmtId="0" fontId="145" fillId="4" borderId="100" xfId="0" applyFont="1" applyFill="1" applyBorder="1" applyAlignment="1" applyProtection="1">
      <alignment horizontal="center" vertical="center"/>
      <protection locked="0"/>
    </xf>
    <xf numFmtId="49" fontId="143" fillId="4" borderId="96" xfId="0" applyNumberFormat="1" applyFont="1" applyFill="1" applyBorder="1" applyAlignment="1" applyProtection="1">
      <alignment horizontal="center" vertical="center"/>
      <protection locked="0"/>
    </xf>
    <xf numFmtId="49" fontId="143" fillId="4" borderId="75" xfId="0" applyNumberFormat="1" applyFont="1" applyFill="1" applyBorder="1" applyAlignment="1" applyProtection="1">
      <alignment horizontal="center" vertical="center"/>
      <protection locked="0"/>
    </xf>
    <xf numFmtId="0" fontId="143" fillId="4" borderId="39" xfId="0" applyFont="1" applyFill="1" applyBorder="1" applyAlignment="1" applyProtection="1">
      <alignment horizontal="center" vertical="center"/>
      <protection locked="0"/>
    </xf>
    <xf numFmtId="0" fontId="143" fillId="4" borderId="103" xfId="0" applyFont="1" applyFill="1" applyBorder="1" applyAlignment="1" applyProtection="1">
      <alignment horizontal="center" vertical="center"/>
      <protection locked="0"/>
    </xf>
    <xf numFmtId="0" fontId="143" fillId="4" borderId="104" xfId="0" applyFont="1" applyFill="1" applyBorder="1" applyAlignment="1" applyProtection="1">
      <alignment horizontal="center" vertical="center"/>
      <protection locked="0"/>
    </xf>
    <xf numFmtId="49" fontId="143" fillId="4" borderId="101" xfId="0" applyNumberFormat="1" applyFont="1" applyFill="1" applyBorder="1" applyAlignment="1" applyProtection="1">
      <alignment horizontal="center" vertical="center"/>
      <protection locked="0"/>
    </xf>
    <xf numFmtId="49" fontId="143" fillId="4" borderId="102" xfId="0" applyNumberFormat="1" applyFont="1" applyFill="1" applyBorder="1" applyAlignment="1" applyProtection="1">
      <alignment horizontal="center" vertical="center"/>
      <protection locked="0"/>
    </xf>
    <xf numFmtId="165" fontId="49" fillId="4" borderId="2" xfId="0" applyNumberFormat="1" applyFont="1" applyFill="1" applyBorder="1" applyAlignment="1" applyProtection="1">
      <alignment horizontal="center" vertical="center" wrapText="1"/>
    </xf>
    <xf numFmtId="165" fontId="49" fillId="4" borderId="3" xfId="0" applyNumberFormat="1" applyFont="1" applyFill="1" applyBorder="1" applyAlignment="1" applyProtection="1">
      <alignment horizontal="center" vertical="center" wrapText="1"/>
    </xf>
    <xf numFmtId="165" fontId="49" fillId="4" borderId="49" xfId="0" applyNumberFormat="1" applyFont="1" applyFill="1" applyBorder="1" applyAlignment="1" applyProtection="1">
      <alignment horizontal="center" vertical="center" wrapText="1"/>
    </xf>
    <xf numFmtId="49" fontId="143" fillId="4" borderId="62" xfId="0" applyNumberFormat="1" applyFont="1" applyFill="1" applyBorder="1" applyAlignment="1" applyProtection="1">
      <alignment horizontal="center" vertical="center"/>
      <protection locked="0"/>
    </xf>
    <xf numFmtId="49" fontId="143" fillId="4" borderId="104" xfId="0" applyNumberFormat="1" applyFont="1" applyFill="1" applyBorder="1" applyAlignment="1" applyProtection="1">
      <alignment horizontal="center" vertical="center"/>
      <protection locked="0"/>
    </xf>
    <xf numFmtId="0" fontId="49" fillId="4" borderId="77" xfId="0" applyFont="1" applyFill="1" applyBorder="1" applyAlignment="1" applyProtection="1">
      <alignment horizontal="center" vertical="center" wrapText="1"/>
    </xf>
    <xf numFmtId="0" fontId="49" fillId="4" borderId="48" xfId="0" applyFont="1" applyFill="1" applyBorder="1" applyAlignment="1" applyProtection="1">
      <alignment horizontal="center" vertical="center" wrapText="1"/>
    </xf>
    <xf numFmtId="0" fontId="49" fillId="4" borderId="4" xfId="0" applyFont="1" applyFill="1" applyBorder="1" applyAlignment="1" applyProtection="1">
      <alignment horizontal="center" vertical="center" wrapText="1"/>
    </xf>
    <xf numFmtId="0" fontId="49" fillId="4" borderId="11" xfId="0" applyFont="1" applyFill="1" applyBorder="1" applyAlignment="1" applyProtection="1">
      <alignment horizontal="center" vertical="center" wrapText="1"/>
    </xf>
    <xf numFmtId="0" fontId="49" fillId="4" borderId="85" xfId="0" applyFont="1" applyFill="1" applyBorder="1" applyAlignment="1" applyProtection="1">
      <alignment horizontal="center" vertical="center" wrapText="1"/>
    </xf>
    <xf numFmtId="0" fontId="49" fillId="4" borderId="15" xfId="0" applyFont="1" applyFill="1" applyBorder="1" applyAlignment="1" applyProtection="1">
      <alignment horizontal="center" vertical="center" wrapText="1"/>
    </xf>
    <xf numFmtId="0" fontId="49" fillId="4" borderId="63"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0" fontId="49" fillId="4" borderId="44" xfId="0" applyFont="1" applyFill="1" applyBorder="1" applyAlignment="1" applyProtection="1">
      <alignment horizontal="center" vertical="center" wrapText="1"/>
    </xf>
    <xf numFmtId="0" fontId="143" fillId="4" borderId="96" xfId="0" applyFont="1" applyFill="1" applyBorder="1" applyAlignment="1" applyProtection="1">
      <alignment horizontal="center" vertical="center"/>
      <protection locked="0"/>
    </xf>
    <xf numFmtId="0" fontId="143" fillId="4" borderId="62" xfId="0" applyFont="1" applyFill="1" applyBorder="1" applyAlignment="1" applyProtection="1">
      <alignment horizontal="center" vertical="center"/>
      <protection locked="0"/>
    </xf>
    <xf numFmtId="0" fontId="143" fillId="4" borderId="101" xfId="0" applyFont="1" applyFill="1" applyBorder="1" applyAlignment="1" applyProtection="1">
      <alignment horizontal="center" vertical="center"/>
      <protection locked="0"/>
    </xf>
    <xf numFmtId="0" fontId="143" fillId="4" borderId="102" xfId="0" applyFont="1" applyFill="1" applyBorder="1" applyAlignment="1" applyProtection="1">
      <alignment horizontal="center" vertical="center"/>
      <protection locked="0"/>
    </xf>
    <xf numFmtId="0" fontId="145" fillId="4" borderId="39" xfId="0" applyFont="1" applyFill="1" applyBorder="1" applyAlignment="1" applyProtection="1">
      <alignment horizontal="center" vertical="center"/>
      <protection locked="0"/>
    </xf>
    <xf numFmtId="0" fontId="145" fillId="4" borderId="103" xfId="0" applyFont="1" applyFill="1" applyBorder="1" applyAlignment="1" applyProtection="1">
      <alignment horizontal="center" vertical="center"/>
      <protection locked="0"/>
    </xf>
    <xf numFmtId="0" fontId="145" fillId="4" borderId="104" xfId="0" applyFont="1" applyFill="1" applyBorder="1" applyAlignment="1" applyProtection="1">
      <alignment horizontal="center" vertical="center"/>
      <protection locked="0"/>
    </xf>
    <xf numFmtId="0" fontId="145" fillId="4" borderId="81" xfId="0" applyFont="1" applyFill="1" applyBorder="1" applyAlignment="1" applyProtection="1">
      <alignment horizontal="center" vertical="center"/>
      <protection locked="0"/>
    </xf>
    <xf numFmtId="0" fontId="145" fillId="4" borderId="105" xfId="0" applyFont="1" applyFill="1" applyBorder="1" applyAlignment="1" applyProtection="1">
      <alignment horizontal="center" vertical="center"/>
      <protection locked="0"/>
    </xf>
    <xf numFmtId="0" fontId="145" fillId="4" borderId="102" xfId="0" applyFont="1" applyFill="1" applyBorder="1" applyAlignment="1" applyProtection="1">
      <alignment horizontal="center" vertical="center"/>
      <protection locked="0"/>
    </xf>
    <xf numFmtId="49" fontId="143" fillId="4" borderId="97" xfId="0" applyNumberFormat="1" applyFont="1" applyFill="1" applyBorder="1" applyAlignment="1" applyProtection="1">
      <alignment horizontal="center" vertical="center"/>
      <protection locked="0"/>
    </xf>
    <xf numFmtId="49" fontId="143" fillId="4" borderId="98" xfId="0" applyNumberFormat="1" applyFont="1" applyFill="1" applyBorder="1" applyAlignment="1" applyProtection="1">
      <alignment horizontal="center" vertical="center"/>
      <protection locked="0"/>
    </xf>
    <xf numFmtId="49" fontId="143" fillId="4" borderId="99" xfId="0" applyNumberFormat="1" applyFont="1" applyFill="1" applyBorder="1" applyAlignment="1" applyProtection="1">
      <alignment horizontal="center" vertical="center"/>
      <protection locked="0"/>
    </xf>
    <xf numFmtId="0" fontId="143" fillId="4" borderId="81" xfId="0" applyFont="1" applyFill="1" applyBorder="1" applyAlignment="1" applyProtection="1">
      <alignment horizontal="center" vertical="center"/>
      <protection locked="0"/>
    </xf>
    <xf numFmtId="0" fontId="143" fillId="4" borderId="105" xfId="0" applyFont="1" applyFill="1" applyBorder="1" applyAlignment="1" applyProtection="1">
      <alignment horizontal="center" vertical="center"/>
      <protection locked="0"/>
    </xf>
    <xf numFmtId="0" fontId="158" fillId="11" borderId="2" xfId="0" applyFont="1" applyFill="1" applyBorder="1" applyAlignment="1" applyProtection="1">
      <alignment horizontal="center" vertical="center"/>
    </xf>
    <xf numFmtId="0" fontId="158" fillId="11" borderId="3" xfId="0" applyFont="1" applyFill="1" applyBorder="1" applyAlignment="1" applyProtection="1">
      <alignment horizontal="center" vertical="center"/>
    </xf>
    <xf numFmtId="0" fontId="158" fillId="11" borderId="49" xfId="0" applyFont="1" applyFill="1" applyBorder="1" applyAlignment="1" applyProtection="1">
      <alignment horizontal="center" vertical="center"/>
    </xf>
    <xf numFmtId="0" fontId="158" fillId="4" borderId="1" xfId="0" applyFont="1" applyFill="1" applyBorder="1" applyAlignment="1" applyProtection="1">
      <alignment horizontal="center" vertical="center" wrapText="1"/>
    </xf>
    <xf numFmtId="0" fontId="158" fillId="4" borderId="1" xfId="0" applyFont="1" applyFill="1" applyBorder="1" applyAlignment="1" applyProtection="1">
      <alignment horizontal="center" vertical="center"/>
    </xf>
    <xf numFmtId="0" fontId="161" fillId="11" borderId="2" xfId="0" applyFont="1" applyFill="1" applyBorder="1" applyAlignment="1" applyProtection="1">
      <alignment horizontal="center" vertical="center" wrapText="1"/>
    </xf>
    <xf numFmtId="0" fontId="161" fillId="11" borderId="3" xfId="0" applyFont="1" applyFill="1" applyBorder="1" applyAlignment="1" applyProtection="1">
      <alignment horizontal="center" vertical="center" wrapText="1"/>
    </xf>
    <xf numFmtId="0" fontId="54" fillId="4" borderId="2" xfId="0"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wrapText="1"/>
    </xf>
    <xf numFmtId="0" fontId="54" fillId="4" borderId="49" xfId="0" applyFont="1" applyFill="1" applyBorder="1" applyAlignment="1" applyProtection="1">
      <alignment horizontal="center" vertical="center" wrapText="1"/>
    </xf>
    <xf numFmtId="0" fontId="254" fillId="11" borderId="1" xfId="0" applyFont="1" applyFill="1" applyBorder="1" applyAlignment="1" applyProtection="1">
      <alignment horizontal="center" vertical="center"/>
    </xf>
    <xf numFmtId="0" fontId="250" fillId="11" borderId="2" xfId="1" applyFont="1" applyFill="1" applyBorder="1" applyAlignment="1" applyProtection="1">
      <alignment horizontal="center" vertical="center" wrapText="1"/>
    </xf>
    <xf numFmtId="0" fontId="250" fillId="11" borderId="3" xfId="1" applyFont="1" applyFill="1" applyBorder="1" applyAlignment="1" applyProtection="1">
      <alignment horizontal="center" vertical="center" wrapText="1"/>
    </xf>
    <xf numFmtId="0" fontId="250" fillId="11" borderId="49" xfId="1" applyFont="1" applyFill="1" applyBorder="1" applyAlignment="1" applyProtection="1">
      <alignment horizontal="center" vertical="center" wrapText="1"/>
    </xf>
    <xf numFmtId="0" fontId="253" fillId="4" borderId="1" xfId="1" applyFont="1" applyFill="1" applyBorder="1" applyAlignment="1" applyProtection="1">
      <alignment horizontal="center" vertical="center" wrapText="1"/>
      <protection locked="0"/>
    </xf>
    <xf numFmtId="0" fontId="254" fillId="11" borderId="2" xfId="0" applyFont="1" applyFill="1" applyBorder="1" applyAlignment="1" applyProtection="1">
      <alignment horizontal="center" vertical="center"/>
    </xf>
    <xf numFmtId="0" fontId="163" fillId="4" borderId="243" xfId="0" applyFont="1" applyFill="1" applyBorder="1" applyAlignment="1" applyProtection="1">
      <alignment vertical="top" wrapText="1"/>
    </xf>
    <xf numFmtId="0" fontId="163" fillId="4" borderId="244" xfId="0" applyFont="1" applyFill="1" applyBorder="1" applyAlignment="1" applyProtection="1">
      <alignment vertical="top"/>
    </xf>
    <xf numFmtId="0" fontId="163" fillId="4" borderId="245" xfId="0" applyFont="1" applyFill="1" applyBorder="1" applyAlignment="1" applyProtection="1">
      <alignment vertical="top"/>
    </xf>
    <xf numFmtId="0" fontId="163" fillId="4" borderId="247" xfId="0" applyFont="1" applyFill="1" applyBorder="1" applyAlignment="1" applyProtection="1">
      <alignment vertical="top"/>
    </xf>
    <xf numFmtId="0" fontId="163" fillId="4" borderId="248" xfId="0" applyFont="1" applyFill="1" applyBorder="1" applyAlignment="1" applyProtection="1">
      <alignment vertical="top"/>
    </xf>
    <xf numFmtId="0" fontId="163" fillId="4" borderId="249" xfId="0" applyFont="1" applyFill="1" applyBorder="1" applyAlignment="1" applyProtection="1">
      <alignment vertical="top"/>
    </xf>
    <xf numFmtId="0" fontId="142" fillId="4" borderId="281" xfId="4" applyFont="1" applyFill="1" applyBorder="1" applyAlignment="1" applyProtection="1">
      <alignment horizontal="left" vertical="top" wrapText="1"/>
    </xf>
    <xf numFmtId="0" fontId="142" fillId="4" borderId="282" xfId="4" applyFont="1" applyFill="1" applyBorder="1" applyAlignment="1" applyProtection="1">
      <alignment horizontal="left" vertical="top" wrapText="1"/>
    </xf>
    <xf numFmtId="0" fontId="142" fillId="4" borderId="283" xfId="4" applyFont="1" applyFill="1" applyBorder="1" applyAlignment="1" applyProtection="1">
      <alignment horizontal="left" vertical="top" wrapText="1"/>
    </xf>
    <xf numFmtId="0" fontId="145" fillId="4" borderId="4" xfId="0" applyFont="1" applyFill="1" applyBorder="1" applyAlignment="1" applyProtection="1">
      <alignment horizontal="center" vertical="center" wrapText="1"/>
    </xf>
    <xf numFmtId="0" fontId="145" fillId="4" borderId="11" xfId="0" applyFont="1" applyFill="1" applyBorder="1" applyAlignment="1" applyProtection="1">
      <alignment horizontal="center" vertical="center" wrapText="1"/>
    </xf>
    <xf numFmtId="0" fontId="145" fillId="4" borderId="77" xfId="0" applyFont="1" applyFill="1" applyBorder="1" applyAlignment="1" applyProtection="1">
      <alignment horizontal="center" vertical="center" wrapText="1"/>
    </xf>
    <xf numFmtId="0" fontId="145" fillId="4" borderId="63" xfId="0" applyFont="1" applyFill="1" applyBorder="1" applyAlignment="1" applyProtection="1">
      <alignment horizontal="center" vertical="center" wrapText="1"/>
    </xf>
    <xf numFmtId="0" fontId="145" fillId="4" borderId="48" xfId="0" applyFont="1" applyFill="1" applyBorder="1" applyAlignment="1" applyProtection="1">
      <alignment horizontal="center" vertical="center" wrapText="1"/>
    </xf>
    <xf numFmtId="0" fontId="148" fillId="4" borderId="4" xfId="0" applyFont="1" applyFill="1" applyBorder="1" applyAlignment="1" applyProtection="1">
      <alignment horizontal="center" vertical="center" wrapText="1"/>
    </xf>
    <xf numFmtId="0" fontId="148" fillId="4" borderId="0" xfId="0" applyFont="1" applyFill="1" applyBorder="1" applyAlignment="1" applyProtection="1">
      <alignment horizontal="center" vertical="center" wrapText="1"/>
    </xf>
    <xf numFmtId="0" fontId="148" fillId="4" borderId="11" xfId="0" applyFont="1" applyFill="1" applyBorder="1" applyAlignment="1" applyProtection="1">
      <alignment horizontal="center" vertical="center" wrapText="1"/>
    </xf>
    <xf numFmtId="0" fontId="148" fillId="4" borderId="4" xfId="0" applyFont="1" applyFill="1" applyBorder="1" applyAlignment="1" applyProtection="1">
      <alignment horizontal="center" vertical="top" wrapText="1"/>
    </xf>
    <xf numFmtId="0" fontId="148" fillId="4" borderId="0" xfId="0" applyFont="1" applyFill="1" applyBorder="1" applyAlignment="1" applyProtection="1">
      <alignment horizontal="center" vertical="top" wrapText="1"/>
    </xf>
    <xf numFmtId="0" fontId="148" fillId="4" borderId="11" xfId="0" applyFont="1" applyFill="1" applyBorder="1" applyAlignment="1" applyProtection="1">
      <alignment horizontal="center" vertical="top" wrapText="1"/>
    </xf>
    <xf numFmtId="0" fontId="150" fillId="4" borderId="225" xfId="0" applyFont="1" applyFill="1" applyBorder="1" applyAlignment="1" applyProtection="1">
      <alignment horizontal="center" vertical="center"/>
    </xf>
    <xf numFmtId="0" fontId="150" fillId="4" borderId="286" xfId="0" applyFont="1" applyFill="1" applyBorder="1" applyAlignment="1" applyProtection="1">
      <alignment horizontal="center" vertical="center"/>
    </xf>
    <xf numFmtId="0" fontId="150" fillId="4" borderId="287" xfId="0" applyFont="1" applyFill="1" applyBorder="1" applyAlignment="1" applyProtection="1">
      <alignment horizontal="center" vertical="center"/>
    </xf>
    <xf numFmtId="0" fontId="137" fillId="4" borderId="78" xfId="0" applyFont="1" applyFill="1" applyBorder="1" applyAlignment="1" applyProtection="1">
      <alignment horizontal="center" vertical="center" wrapText="1"/>
    </xf>
    <xf numFmtId="0" fontId="137" fillId="4" borderId="46" xfId="0" applyFont="1" applyFill="1" applyBorder="1" applyAlignment="1" applyProtection="1">
      <alignment horizontal="center" vertical="center" wrapText="1"/>
    </xf>
    <xf numFmtId="0" fontId="137" fillId="4" borderId="47" xfId="0" applyFont="1" applyFill="1" applyBorder="1" applyAlignment="1" applyProtection="1">
      <alignment horizontal="center" vertical="center" wrapText="1"/>
    </xf>
    <xf numFmtId="0" fontId="193" fillId="4" borderId="243" xfId="0" applyFont="1" applyFill="1" applyBorder="1" applyAlignment="1" applyProtection="1">
      <alignment horizontal="left" vertical="top" wrapText="1"/>
    </xf>
    <xf numFmtId="0" fontId="193" fillId="4" borderId="244" xfId="0" applyFont="1" applyFill="1" applyBorder="1" applyAlignment="1" applyProtection="1">
      <alignment horizontal="left" vertical="top" wrapText="1"/>
    </xf>
    <xf numFmtId="0" fontId="193" fillId="4" borderId="245" xfId="0" applyFont="1" applyFill="1" applyBorder="1" applyAlignment="1" applyProtection="1">
      <alignment horizontal="left" vertical="top" wrapText="1"/>
    </xf>
    <xf numFmtId="0" fontId="193" fillId="4" borderId="194" xfId="0" applyFont="1" applyFill="1" applyBorder="1" applyAlignment="1" applyProtection="1">
      <alignment horizontal="left" vertical="top" wrapText="1"/>
    </xf>
    <xf numFmtId="0" fontId="193" fillId="4" borderId="0" xfId="0" applyFont="1" applyFill="1" applyBorder="1" applyAlignment="1" applyProtection="1">
      <alignment horizontal="left" vertical="top" wrapText="1"/>
    </xf>
    <xf numFmtId="0" fontId="193" fillId="4" borderId="246" xfId="0" applyFont="1" applyFill="1" applyBorder="1" applyAlignment="1" applyProtection="1">
      <alignment horizontal="left" vertical="top" wrapText="1"/>
    </xf>
    <xf numFmtId="0" fontId="193" fillId="4" borderId="247" xfId="0" applyFont="1" applyFill="1" applyBorder="1" applyAlignment="1" applyProtection="1">
      <alignment horizontal="left" vertical="top" wrapText="1"/>
    </xf>
    <xf numFmtId="0" fontId="193" fillId="4" borderId="248" xfId="0" applyFont="1" applyFill="1" applyBorder="1" applyAlignment="1" applyProtection="1">
      <alignment horizontal="left" vertical="top" wrapText="1"/>
    </xf>
    <xf numFmtId="0" fontId="193" fillId="4" borderId="249" xfId="0" applyFont="1" applyFill="1" applyBorder="1" applyAlignment="1" applyProtection="1">
      <alignment horizontal="left" vertical="top" wrapText="1"/>
    </xf>
    <xf numFmtId="0" fontId="137" fillId="4" borderId="1" xfId="0" applyFont="1" applyFill="1" applyBorder="1" applyAlignment="1" applyProtection="1">
      <alignment horizontal="center" vertical="center"/>
    </xf>
    <xf numFmtId="0" fontId="137" fillId="4" borderId="78" xfId="0" applyFont="1" applyFill="1" applyBorder="1" applyAlignment="1" applyProtection="1">
      <alignment horizontal="center" vertical="center"/>
    </xf>
    <xf numFmtId="0" fontId="137" fillId="4" borderId="46" xfId="0" applyFont="1" applyFill="1" applyBorder="1" applyAlignment="1" applyProtection="1">
      <alignment horizontal="center" vertical="center"/>
    </xf>
    <xf numFmtId="0" fontId="137" fillId="4" borderId="47" xfId="0" applyFont="1" applyFill="1" applyBorder="1" applyAlignment="1" applyProtection="1">
      <alignment horizontal="center" vertical="center"/>
    </xf>
    <xf numFmtId="0" fontId="145" fillId="4" borderId="77" xfId="0" applyFont="1" applyFill="1" applyBorder="1" applyAlignment="1" applyProtection="1">
      <alignment horizontal="center" vertical="center"/>
    </xf>
    <xf numFmtId="0" fontId="145" fillId="4" borderId="63" xfId="0" applyFont="1" applyFill="1" applyBorder="1" applyAlignment="1" applyProtection="1">
      <alignment horizontal="center" vertical="center"/>
    </xf>
    <xf numFmtId="0" fontId="145" fillId="4" borderId="48" xfId="0" applyFont="1" applyFill="1" applyBorder="1" applyAlignment="1" applyProtection="1">
      <alignment horizontal="center" vertical="center"/>
    </xf>
    <xf numFmtId="0" fontId="150" fillId="4" borderId="211" xfId="0" applyFont="1" applyFill="1" applyBorder="1" applyAlignment="1" applyProtection="1">
      <alignment horizontal="center" vertical="center"/>
    </xf>
    <xf numFmtId="0" fontId="137" fillId="4" borderId="77" xfId="0" applyFont="1" applyFill="1" applyBorder="1" applyAlignment="1" applyProtection="1">
      <alignment horizontal="center" vertical="center"/>
    </xf>
    <xf numFmtId="0" fontId="137" fillId="4" borderId="63" xfId="0" applyFont="1" applyFill="1" applyBorder="1" applyAlignment="1" applyProtection="1">
      <alignment horizontal="center" vertical="center"/>
    </xf>
    <xf numFmtId="0" fontId="137" fillId="4" borderId="48" xfId="0" applyFont="1" applyFill="1" applyBorder="1" applyAlignment="1" applyProtection="1">
      <alignment horizontal="center" vertical="center"/>
    </xf>
    <xf numFmtId="0" fontId="13" fillId="4" borderId="77" xfId="0" applyFont="1" applyFill="1" applyBorder="1" applyAlignment="1" applyProtection="1">
      <alignment horizontal="center" vertical="center"/>
    </xf>
    <xf numFmtId="0" fontId="13" fillId="4" borderId="63" xfId="0" applyFont="1" applyFill="1" applyBorder="1" applyAlignment="1" applyProtection="1">
      <alignment horizontal="center" vertical="center"/>
    </xf>
    <xf numFmtId="0" fontId="13" fillId="4" borderId="48" xfId="0" applyFont="1" applyFill="1" applyBorder="1" applyAlignment="1" applyProtection="1">
      <alignment horizontal="center" vertical="center"/>
    </xf>
    <xf numFmtId="0" fontId="15" fillId="4" borderId="11" xfId="5"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165" fontId="145" fillId="4" borderId="40" xfId="0" applyNumberFormat="1" applyFont="1" applyFill="1" applyBorder="1" applyAlignment="1" applyProtection="1">
      <alignment horizontal="center" vertical="center"/>
    </xf>
    <xf numFmtId="0" fontId="145" fillId="4" borderId="75" xfId="0" applyFont="1" applyFill="1" applyBorder="1" applyAlignment="1" applyProtection="1">
      <alignment horizontal="center" vertical="center"/>
    </xf>
    <xf numFmtId="165" fontId="145" fillId="4" borderId="40" xfId="0" quotePrefix="1" applyNumberFormat="1" applyFont="1" applyFill="1" applyBorder="1" applyAlignment="1" applyProtection="1">
      <alignment horizontal="center" vertical="center" wrapText="1"/>
    </xf>
    <xf numFmtId="165" fontId="145" fillId="4" borderId="75" xfId="0" applyNumberFormat="1" applyFont="1" applyFill="1" applyBorder="1" applyAlignment="1" applyProtection="1">
      <alignment horizontal="center" vertical="center" wrapText="1"/>
    </xf>
    <xf numFmtId="165" fontId="13" fillId="4" borderId="40" xfId="0" applyNumberFormat="1"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165" fontId="145" fillId="4" borderId="75" xfId="0" applyNumberFormat="1" applyFont="1" applyFill="1" applyBorder="1" applyAlignment="1" applyProtection="1">
      <alignment horizontal="center" vertical="center"/>
    </xf>
    <xf numFmtId="165" fontId="13" fillId="4" borderId="40" xfId="0" applyNumberFormat="1" applyFont="1" applyFill="1" applyBorder="1" applyAlignment="1" applyProtection="1">
      <alignment horizontal="center" vertical="center"/>
    </xf>
    <xf numFmtId="165" fontId="13" fillId="4" borderId="75" xfId="0" applyNumberFormat="1" applyFont="1" applyFill="1" applyBorder="1" applyAlignment="1" applyProtection="1">
      <alignment horizontal="center" vertical="center"/>
    </xf>
    <xf numFmtId="165" fontId="145" fillId="4" borderId="42" xfId="0" quotePrefix="1" applyNumberFormat="1" applyFont="1" applyFill="1" applyBorder="1" applyAlignment="1" applyProtection="1">
      <alignment horizontal="center" vertical="center" wrapText="1"/>
    </xf>
    <xf numFmtId="165" fontId="145" fillId="4" borderId="100" xfId="0" applyNumberFormat="1" applyFont="1" applyFill="1" applyBorder="1" applyAlignment="1" applyProtection="1">
      <alignment horizontal="center" vertical="center" wrapText="1"/>
    </xf>
    <xf numFmtId="165" fontId="13" fillId="4" borderId="42" xfId="0" applyNumberFormat="1" applyFont="1" applyFill="1" applyBorder="1" applyAlignment="1" applyProtection="1">
      <alignment horizontal="center" vertical="center" wrapText="1"/>
    </xf>
    <xf numFmtId="0" fontId="13" fillId="4" borderId="100" xfId="0" applyFont="1" applyFill="1" applyBorder="1" applyAlignment="1" applyProtection="1">
      <alignment horizontal="center" vertical="center" wrapText="1"/>
    </xf>
    <xf numFmtId="165" fontId="145" fillId="4" borderId="42" xfId="0" applyNumberFormat="1" applyFont="1" applyFill="1" applyBorder="1" applyAlignment="1" applyProtection="1">
      <alignment horizontal="center" vertical="center"/>
    </xf>
    <xf numFmtId="0" fontId="145" fillId="4" borderId="100" xfId="0" applyFont="1" applyFill="1" applyBorder="1" applyAlignment="1" applyProtection="1">
      <alignment horizontal="center" vertical="center"/>
    </xf>
    <xf numFmtId="165" fontId="145" fillId="4" borderId="100" xfId="0" applyNumberFormat="1" applyFont="1" applyFill="1" applyBorder="1" applyAlignment="1" applyProtection="1">
      <alignment horizontal="center" vertical="center"/>
    </xf>
    <xf numFmtId="165" fontId="13" fillId="4" borderId="42" xfId="0" applyNumberFormat="1" applyFont="1" applyFill="1" applyBorder="1" applyAlignment="1" applyProtection="1">
      <alignment horizontal="center" vertical="center"/>
    </xf>
    <xf numFmtId="165" fontId="13" fillId="4" borderId="100" xfId="0" applyNumberFormat="1" applyFont="1" applyFill="1" applyBorder="1" applyAlignment="1" applyProtection="1">
      <alignment horizontal="center" vertical="center"/>
    </xf>
    <xf numFmtId="165" fontId="145" fillId="4" borderId="106" xfId="0" applyNumberFormat="1" applyFont="1" applyFill="1" applyBorder="1" applyAlignment="1" applyProtection="1">
      <alignment horizontal="center" vertical="center" wrapText="1"/>
    </xf>
    <xf numFmtId="165" fontId="145" fillId="4" borderId="107" xfId="0" applyNumberFormat="1" applyFont="1" applyFill="1" applyBorder="1" applyAlignment="1" applyProtection="1">
      <alignment horizontal="center" vertical="center" wrapText="1"/>
    </xf>
    <xf numFmtId="165" fontId="13" fillId="4" borderId="106" xfId="0" applyNumberFormat="1" applyFont="1" applyFill="1" applyBorder="1" applyAlignment="1" applyProtection="1">
      <alignment horizontal="center" vertical="center" wrapText="1"/>
    </xf>
    <xf numFmtId="0" fontId="13" fillId="4" borderId="107" xfId="0" applyFont="1" applyFill="1" applyBorder="1" applyAlignment="1" applyProtection="1">
      <alignment horizontal="center" vertical="center" wrapText="1"/>
    </xf>
    <xf numFmtId="165" fontId="145" fillId="4" borderId="106" xfId="0" applyNumberFormat="1" applyFont="1" applyFill="1" applyBorder="1" applyAlignment="1" applyProtection="1">
      <alignment horizontal="center" vertical="center"/>
    </xf>
    <xf numFmtId="0" fontId="145" fillId="4" borderId="107" xfId="0" applyFont="1" applyFill="1" applyBorder="1" applyAlignment="1" applyProtection="1">
      <alignment horizontal="center" vertical="center"/>
    </xf>
    <xf numFmtId="165" fontId="145" fillId="4" borderId="107" xfId="0" applyNumberFormat="1" applyFont="1" applyFill="1" applyBorder="1" applyAlignment="1" applyProtection="1">
      <alignment horizontal="center" vertical="center"/>
    </xf>
    <xf numFmtId="165" fontId="13" fillId="4" borderId="106" xfId="0" applyNumberFormat="1" applyFont="1" applyFill="1" applyBorder="1" applyAlignment="1" applyProtection="1">
      <alignment horizontal="center" vertical="center"/>
    </xf>
    <xf numFmtId="165" fontId="13" fillId="4" borderId="107" xfId="0" applyNumberFormat="1" applyFont="1" applyFill="1" applyBorder="1" applyAlignment="1" applyProtection="1">
      <alignment horizontal="center" vertical="center"/>
    </xf>
    <xf numFmtId="0" fontId="156" fillId="4" borderId="291" xfId="0" applyFont="1" applyFill="1" applyBorder="1" applyAlignment="1" applyProtection="1">
      <alignment horizontal="center" vertical="center" wrapText="1"/>
    </xf>
    <xf numFmtId="0" fontId="156" fillId="4" borderId="292" xfId="0" applyFont="1" applyFill="1" applyBorder="1" applyAlignment="1" applyProtection="1">
      <alignment horizontal="center" vertical="center" wrapText="1"/>
    </xf>
    <xf numFmtId="0" fontId="19" fillId="4" borderId="85"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56" fillId="4" borderId="198" xfId="0" applyFont="1" applyFill="1" applyBorder="1" applyAlignment="1" applyProtection="1">
      <alignment horizontal="center" vertical="center" wrapText="1"/>
    </xf>
    <xf numFmtId="0" fontId="19" fillId="4" borderId="198" xfId="0" applyFont="1" applyFill="1" applyBorder="1" applyAlignment="1" applyProtection="1">
      <alignment horizontal="center" vertical="center" wrapText="1"/>
    </xf>
    <xf numFmtId="3" fontId="143" fillId="4" borderId="78" xfId="0" applyNumberFormat="1" applyFont="1" applyFill="1" applyBorder="1" applyAlignment="1" applyProtection="1">
      <alignment horizontal="center" vertical="center"/>
      <protection locked="0"/>
    </xf>
    <xf numFmtId="3" fontId="143" fillId="4" borderId="47" xfId="0" applyNumberFormat="1" applyFont="1" applyFill="1" applyBorder="1" applyAlignment="1" applyProtection="1">
      <alignment horizontal="center" vertical="center"/>
      <protection locked="0"/>
    </xf>
    <xf numFmtId="10" fontId="143" fillId="4" borderId="78" xfId="6" applyNumberFormat="1" applyFont="1" applyFill="1" applyBorder="1" applyAlignment="1" applyProtection="1">
      <alignment horizontal="center" vertical="center"/>
      <protection locked="0"/>
    </xf>
    <xf numFmtId="10" fontId="143" fillId="4" borderId="47" xfId="6" applyNumberFormat="1" applyFont="1" applyFill="1" applyBorder="1" applyAlignment="1" applyProtection="1">
      <alignment horizontal="center" vertical="center"/>
      <protection locked="0"/>
    </xf>
    <xf numFmtId="165" fontId="143" fillId="4" borderId="78" xfId="0" applyNumberFormat="1" applyFont="1" applyFill="1" applyBorder="1" applyAlignment="1" applyProtection="1">
      <alignment horizontal="center" vertical="center"/>
      <protection locked="0"/>
    </xf>
    <xf numFmtId="165" fontId="143" fillId="4" borderId="47" xfId="0" applyNumberFormat="1" applyFont="1" applyFill="1" applyBorder="1" applyAlignment="1" applyProtection="1">
      <alignment horizontal="center" vertical="center"/>
      <protection locked="0"/>
    </xf>
    <xf numFmtId="0" fontId="150" fillId="4" borderId="0" xfId="0" applyFont="1" applyFill="1" applyAlignment="1" applyProtection="1">
      <alignment horizontal="right" vertical="center"/>
    </xf>
    <xf numFmtId="0" fontId="150" fillId="4" borderId="11" xfId="0" applyFont="1" applyFill="1" applyBorder="1" applyAlignment="1" applyProtection="1">
      <alignment horizontal="right" vertical="center"/>
    </xf>
    <xf numFmtId="165" fontId="145" fillId="4" borderId="40" xfId="0" applyNumberFormat="1" applyFont="1" applyFill="1" applyBorder="1" applyAlignment="1" applyProtection="1">
      <alignment horizontal="center" vertical="center" wrapText="1"/>
    </xf>
    <xf numFmtId="0" fontId="145" fillId="4" borderId="75" xfId="0" applyFont="1" applyFill="1" applyBorder="1" applyAlignment="1" applyProtection="1">
      <alignment horizontal="center" vertical="center" wrapText="1"/>
    </xf>
    <xf numFmtId="0" fontId="156" fillId="4" borderId="85" xfId="0" applyFont="1" applyFill="1" applyBorder="1" applyAlignment="1" applyProtection="1">
      <alignment horizontal="center" vertical="center" wrapText="1"/>
    </xf>
    <xf numFmtId="0" fontId="156" fillId="4" borderId="15" xfId="0" applyFont="1" applyFill="1" applyBorder="1" applyAlignment="1" applyProtection="1">
      <alignment horizontal="center" vertical="center" wrapText="1"/>
    </xf>
    <xf numFmtId="10" fontId="143" fillId="4" borderId="1" xfId="6" applyNumberFormat="1" applyFont="1" applyFill="1" applyBorder="1" applyAlignment="1" applyProtection="1">
      <alignment horizontal="center" vertical="center"/>
      <protection locked="0"/>
    </xf>
    <xf numFmtId="0" fontId="143" fillId="4" borderId="1" xfId="0" applyFont="1" applyFill="1" applyBorder="1" applyAlignment="1" applyProtection="1">
      <alignment horizontal="center" vertical="center"/>
      <protection locked="0"/>
    </xf>
    <xf numFmtId="0" fontId="145" fillId="4" borderId="107" xfId="0" applyFont="1" applyFill="1" applyBorder="1" applyAlignment="1" applyProtection="1">
      <alignment horizontal="center" vertical="center" wrapText="1"/>
    </xf>
    <xf numFmtId="0" fontId="150" fillId="4" borderId="0" xfId="0" applyFont="1" applyFill="1" applyBorder="1" applyAlignment="1" applyProtection="1">
      <alignment horizontal="right" vertical="center"/>
    </xf>
    <xf numFmtId="1" fontId="143" fillId="4" borderId="78" xfId="0" applyNumberFormat="1" applyFont="1" applyFill="1" applyBorder="1" applyAlignment="1" applyProtection="1">
      <alignment horizontal="center" vertical="center"/>
      <protection locked="0"/>
    </xf>
    <xf numFmtId="1" fontId="143" fillId="4" borderId="47" xfId="0" applyNumberFormat="1" applyFont="1" applyFill="1" applyBorder="1" applyAlignment="1" applyProtection="1">
      <alignment horizontal="center" vertical="center"/>
      <protection locked="0"/>
    </xf>
    <xf numFmtId="165" fontId="145" fillId="4" borderId="81" xfId="0" applyNumberFormat="1" applyFont="1" applyFill="1" applyBorder="1" applyAlignment="1" applyProtection="1">
      <alignment horizontal="center" vertical="center"/>
    </xf>
    <xf numFmtId="0" fontId="145" fillId="4" borderId="102" xfId="0" applyFont="1" applyFill="1" applyBorder="1" applyAlignment="1" applyProtection="1">
      <alignment horizontal="center" vertical="center"/>
    </xf>
    <xf numFmtId="165" fontId="145" fillId="4" borderId="42" xfId="0" applyNumberFormat="1" applyFont="1" applyFill="1" applyBorder="1" applyAlignment="1" applyProtection="1">
      <alignment horizontal="center" vertical="center" wrapText="1"/>
    </xf>
    <xf numFmtId="0" fontId="145" fillId="4" borderId="100" xfId="0" applyFont="1" applyFill="1" applyBorder="1" applyAlignment="1" applyProtection="1">
      <alignment horizontal="center" vertical="center" wrapText="1"/>
    </xf>
    <xf numFmtId="0" fontId="150" fillId="4" borderId="0" xfId="0" applyFont="1" applyFill="1" applyAlignment="1" applyProtection="1">
      <alignment horizontal="center" vertical="center"/>
    </xf>
    <xf numFmtId="165" fontId="13" fillId="4" borderId="108" xfId="0" applyNumberFormat="1" applyFont="1" applyFill="1" applyBorder="1" applyAlignment="1" applyProtection="1">
      <alignment horizontal="center" vertical="center"/>
    </xf>
    <xf numFmtId="165" fontId="13" fillId="4" borderId="54" xfId="0" applyNumberFormat="1" applyFont="1" applyFill="1" applyBorder="1" applyAlignment="1" applyProtection="1">
      <alignment horizontal="center" vertical="center"/>
    </xf>
    <xf numFmtId="165" fontId="145" fillId="4" borderId="81" xfId="0" quotePrefix="1" applyNumberFormat="1" applyFont="1" applyFill="1" applyBorder="1" applyAlignment="1" applyProtection="1">
      <alignment horizontal="center" vertical="center" wrapText="1"/>
    </xf>
    <xf numFmtId="165" fontId="145" fillId="4" borderId="102" xfId="0" applyNumberFormat="1" applyFont="1" applyFill="1" applyBorder="1" applyAlignment="1" applyProtection="1">
      <alignment horizontal="center" vertical="center" wrapText="1"/>
    </xf>
    <xf numFmtId="165" fontId="145" fillId="4" borderId="39" xfId="0" quotePrefix="1" applyNumberFormat="1" applyFont="1" applyFill="1" applyBorder="1" applyAlignment="1" applyProtection="1">
      <alignment horizontal="center" vertical="center" wrapText="1"/>
    </xf>
    <xf numFmtId="165" fontId="145" fillId="4" borderId="104" xfId="0" applyNumberFormat="1" applyFont="1" applyFill="1" applyBorder="1" applyAlignment="1" applyProtection="1">
      <alignment horizontal="center" vertical="center" wrapText="1"/>
    </xf>
    <xf numFmtId="2" fontId="159" fillId="19" borderId="134" xfId="2" applyNumberFormat="1" applyFont="1" applyFill="1" applyBorder="1" applyAlignment="1" applyProtection="1">
      <alignment horizontal="center" vertical="center"/>
    </xf>
    <xf numFmtId="2" fontId="159" fillId="19" borderId="296" xfId="2" applyNumberFormat="1" applyFont="1" applyFill="1" applyBorder="1" applyAlignment="1" applyProtection="1">
      <alignment horizontal="center" vertical="center"/>
    </xf>
    <xf numFmtId="0" fontId="149" fillId="22" borderId="46" xfId="0" applyFont="1" applyFill="1" applyBorder="1" applyAlignment="1" applyProtection="1">
      <alignment horizontal="center" vertical="center"/>
    </xf>
    <xf numFmtId="0" fontId="149" fillId="22" borderId="94" xfId="0" applyFont="1" applyFill="1" applyBorder="1" applyAlignment="1" applyProtection="1">
      <alignment horizontal="center" vertical="center"/>
    </xf>
    <xf numFmtId="0" fontId="156" fillId="4" borderId="78" xfId="0" applyFont="1" applyFill="1" applyBorder="1" applyAlignment="1" applyProtection="1">
      <alignment horizontal="center" vertical="center"/>
    </xf>
    <xf numFmtId="0" fontId="156" fillId="4" borderId="1" xfId="0" applyFont="1" applyFill="1" applyBorder="1" applyAlignment="1" applyProtection="1">
      <alignment horizontal="center" vertical="center"/>
    </xf>
    <xf numFmtId="0" fontId="156" fillId="4" borderId="94" xfId="0" applyFont="1" applyFill="1" applyBorder="1" applyAlignment="1" applyProtection="1">
      <alignment horizontal="center" vertical="center"/>
    </xf>
    <xf numFmtId="9" fontId="22" fillId="6" borderId="134" xfId="6" applyFont="1" applyFill="1" applyBorder="1" applyAlignment="1" applyProtection="1">
      <alignment horizontal="center" vertical="center"/>
    </xf>
    <xf numFmtId="9" fontId="22" fillId="6" borderId="135" xfId="6" applyFont="1" applyFill="1" applyBorder="1" applyAlignment="1" applyProtection="1">
      <alignment horizontal="center" vertical="center"/>
    </xf>
    <xf numFmtId="9" fontId="22" fillId="6" borderId="130" xfId="6" applyFont="1" applyFill="1" applyBorder="1" applyAlignment="1" applyProtection="1">
      <alignment horizontal="center" vertical="center"/>
    </xf>
    <xf numFmtId="9" fontId="22" fillId="6" borderId="129" xfId="6" applyFont="1" applyFill="1" applyBorder="1" applyAlignment="1" applyProtection="1">
      <alignment horizontal="center" vertical="center"/>
    </xf>
    <xf numFmtId="9" fontId="22" fillId="6" borderId="297" xfId="6" applyFont="1" applyFill="1" applyBorder="1" applyAlignment="1" applyProtection="1">
      <alignment horizontal="center" vertical="center"/>
    </xf>
    <xf numFmtId="2" fontId="159" fillId="19" borderId="218" xfId="2" applyNumberFormat="1" applyFont="1" applyFill="1" applyBorder="1" applyAlignment="1" applyProtection="1">
      <alignment horizontal="center" vertical="center"/>
    </xf>
    <xf numFmtId="2" fontId="159" fillId="19" borderId="135" xfId="2" applyNumberFormat="1" applyFont="1" applyFill="1" applyBorder="1" applyAlignment="1" applyProtection="1">
      <alignment horizontal="center" vertical="center"/>
    </xf>
    <xf numFmtId="0" fontId="149" fillId="36" borderId="46" xfId="0" applyFont="1" applyFill="1" applyBorder="1" applyAlignment="1" applyProtection="1">
      <alignment horizontal="center" vertical="center"/>
    </xf>
    <xf numFmtId="0" fontId="149" fillId="36" borderId="94" xfId="0" applyFont="1" applyFill="1" applyBorder="1" applyAlignment="1" applyProtection="1">
      <alignment horizontal="center" vertical="center"/>
    </xf>
    <xf numFmtId="9" fontId="159" fillId="6" borderId="0" xfId="6" applyFont="1" applyFill="1" applyBorder="1" applyAlignment="1" applyProtection="1">
      <alignment horizontal="center" vertical="center"/>
    </xf>
    <xf numFmtId="9" fontId="159" fillId="6" borderId="250" xfId="6" applyFont="1" applyFill="1" applyBorder="1" applyAlignment="1" applyProtection="1">
      <alignment horizontal="center" vertical="center"/>
    </xf>
    <xf numFmtId="9" fontId="159" fillId="6" borderId="218" xfId="2" applyNumberFormat="1" applyFont="1" applyFill="1" applyBorder="1" applyAlignment="1" applyProtection="1">
      <alignment horizontal="center" vertical="center"/>
    </xf>
    <xf numFmtId="9" fontId="159" fillId="6" borderId="135" xfId="2" applyNumberFormat="1" applyFont="1" applyFill="1" applyBorder="1" applyAlignment="1" applyProtection="1">
      <alignment horizontal="center" vertical="center"/>
    </xf>
    <xf numFmtId="9" fontId="22" fillId="6" borderId="218" xfId="6" applyFont="1" applyFill="1" applyBorder="1" applyAlignment="1" applyProtection="1">
      <alignment horizontal="center" vertical="center"/>
    </xf>
    <xf numFmtId="168" fontId="159" fillId="10" borderId="130" xfId="0" applyNumberFormat="1" applyFont="1" applyFill="1" applyBorder="1" applyAlignment="1" applyProtection="1">
      <alignment horizontal="center" vertical="center"/>
    </xf>
    <xf numFmtId="168" fontId="159" fillId="10" borderId="297" xfId="0" applyNumberFormat="1" applyFont="1" applyFill="1" applyBorder="1" applyAlignment="1" applyProtection="1">
      <alignment horizontal="center" vertical="center"/>
    </xf>
    <xf numFmtId="0" fontId="149" fillId="20" borderId="46" xfId="0" applyFont="1" applyFill="1" applyBorder="1" applyAlignment="1" applyProtection="1">
      <alignment horizontal="center" vertical="center"/>
    </xf>
    <xf numFmtId="0" fontId="149" fillId="20" borderId="94" xfId="0" applyFont="1" applyFill="1" applyBorder="1" applyAlignment="1" applyProtection="1">
      <alignment horizontal="center" vertical="center"/>
    </xf>
    <xf numFmtId="10" fontId="159" fillId="19" borderId="134" xfId="2" quotePrefix="1" applyNumberFormat="1" applyFont="1" applyFill="1" applyBorder="1" applyAlignment="1" applyProtection="1">
      <alignment horizontal="center" vertical="center"/>
    </xf>
    <xf numFmtId="10" fontId="159" fillId="19" borderId="135" xfId="2" applyNumberFormat="1" applyFont="1" applyFill="1" applyBorder="1" applyAlignment="1" applyProtection="1">
      <alignment horizontal="center" vertical="center"/>
    </xf>
    <xf numFmtId="168" fontId="143" fillId="29" borderId="130" xfId="2" applyNumberFormat="1" applyFont="1" applyFill="1" applyBorder="1" applyAlignment="1" applyProtection="1">
      <alignment horizontal="center" vertical="center"/>
    </xf>
    <xf numFmtId="168" fontId="143" fillId="29" borderId="297" xfId="2" applyNumberFormat="1" applyFont="1" applyFill="1" applyBorder="1" applyAlignment="1" applyProtection="1">
      <alignment horizontal="center" vertical="center"/>
    </xf>
    <xf numFmtId="0" fontId="212" fillId="4" borderId="78" xfId="0" applyFont="1" applyFill="1" applyBorder="1" applyAlignment="1" applyProtection="1">
      <alignment horizontal="left" vertical="center"/>
    </xf>
    <xf numFmtId="0" fontId="212" fillId="4" borderId="46" xfId="0" applyFont="1" applyFill="1" applyBorder="1" applyAlignment="1" applyProtection="1">
      <alignment horizontal="left" vertical="center"/>
    </xf>
    <xf numFmtId="0" fontId="212" fillId="4" borderId="94" xfId="0" applyFont="1" applyFill="1" applyBorder="1" applyAlignment="1" applyProtection="1">
      <alignment horizontal="left" vertical="center"/>
    </xf>
    <xf numFmtId="0" fontId="149" fillId="28" borderId="46" xfId="0" applyFont="1" applyFill="1" applyBorder="1" applyAlignment="1" applyProtection="1">
      <alignment horizontal="center" vertical="center"/>
    </xf>
    <xf numFmtId="0" fontId="149" fillId="28" borderId="94" xfId="0" applyFont="1" applyFill="1" applyBorder="1" applyAlignment="1" applyProtection="1">
      <alignment horizontal="center" vertical="center"/>
    </xf>
    <xf numFmtId="168" fontId="159" fillId="10" borderId="296" xfId="2" applyNumberFormat="1" applyFont="1" applyFill="1" applyBorder="1" applyAlignment="1" applyProtection="1">
      <alignment horizontal="center" vertical="center"/>
    </xf>
    <xf numFmtId="168" fontId="159" fillId="10" borderId="128" xfId="2" applyNumberFormat="1" applyFont="1" applyFill="1" applyBorder="1" applyAlignment="1" applyProtection="1">
      <alignment horizontal="center" vertical="center"/>
    </xf>
    <xf numFmtId="168" fontId="159" fillId="10" borderId="297" xfId="2" applyNumberFormat="1" applyFont="1" applyFill="1" applyBorder="1" applyAlignment="1" applyProtection="1">
      <alignment horizontal="center" vertical="center"/>
    </xf>
    <xf numFmtId="0" fontId="255" fillId="4" borderId="34" xfId="0" applyFont="1" applyFill="1" applyBorder="1" applyAlignment="1" applyProtection="1">
      <alignment horizontal="left" vertical="center"/>
    </xf>
    <xf numFmtId="0" fontId="255" fillId="4" borderId="250" xfId="0" applyFont="1" applyFill="1" applyBorder="1" applyAlignment="1" applyProtection="1">
      <alignment horizontal="left" vertical="center"/>
    </xf>
    <xf numFmtId="168" fontId="159" fillId="10" borderId="134" xfId="6" applyNumberFormat="1" applyFont="1" applyFill="1" applyBorder="1" applyAlignment="1" applyProtection="1">
      <alignment horizontal="center" vertical="center"/>
    </xf>
    <xf numFmtId="168" fontId="159" fillId="10" borderId="135" xfId="6" applyNumberFormat="1" applyFont="1" applyFill="1" applyBorder="1" applyAlignment="1" applyProtection="1">
      <alignment horizontal="center" vertical="center"/>
    </xf>
    <xf numFmtId="9" fontId="159" fillId="6" borderId="134" xfId="2" applyNumberFormat="1" applyFont="1" applyFill="1" applyBorder="1" applyAlignment="1" applyProtection="1">
      <alignment horizontal="center" vertical="center"/>
    </xf>
    <xf numFmtId="9" fontId="159" fillId="6" borderId="296" xfId="2" applyNumberFormat="1" applyFont="1" applyFill="1" applyBorder="1" applyAlignment="1" applyProtection="1">
      <alignment horizontal="center" vertical="center"/>
    </xf>
    <xf numFmtId="10" fontId="143" fillId="29" borderId="134" xfId="6" applyNumberFormat="1" applyFont="1" applyFill="1" applyBorder="1" applyAlignment="1" applyProtection="1">
      <alignment horizontal="center" vertical="center"/>
    </xf>
    <xf numFmtId="10" fontId="143" fillId="29" borderId="218" xfId="6" applyNumberFormat="1" applyFont="1" applyFill="1" applyBorder="1" applyAlignment="1" applyProtection="1">
      <alignment horizontal="center" vertical="center"/>
    </xf>
    <xf numFmtId="10" fontId="143" fillId="29" borderId="298" xfId="6" applyNumberFormat="1" applyFont="1" applyFill="1" applyBorder="1" applyAlignment="1" applyProtection="1">
      <alignment horizontal="center" vertical="center"/>
    </xf>
    <xf numFmtId="168" fontId="143" fillId="29" borderId="129" xfId="2" applyNumberFormat="1" applyFont="1" applyFill="1" applyBorder="1" applyAlignment="1" applyProtection="1">
      <alignment horizontal="center" vertical="center"/>
    </xf>
    <xf numFmtId="10" fontId="159" fillId="19" borderId="218" xfId="2" applyNumberFormat="1" applyFont="1" applyFill="1" applyBorder="1" applyAlignment="1" applyProtection="1">
      <alignment horizontal="center" vertical="center"/>
    </xf>
    <xf numFmtId="10" fontId="159" fillId="19" borderId="296" xfId="2" applyNumberFormat="1" applyFont="1" applyFill="1" applyBorder="1" applyAlignment="1" applyProtection="1">
      <alignment horizontal="center" vertical="center"/>
    </xf>
    <xf numFmtId="0" fontId="204" fillId="4" borderId="34" xfId="0" applyFont="1" applyFill="1" applyBorder="1" applyAlignment="1" applyProtection="1">
      <alignment horizontal="left" vertical="center" wrapText="1"/>
    </xf>
    <xf numFmtId="0" fontId="204" fillId="4" borderId="0" xfId="0" applyFont="1" applyFill="1" applyBorder="1" applyAlignment="1" applyProtection="1">
      <alignment horizontal="left" vertical="center" wrapText="1"/>
    </xf>
    <xf numFmtId="1" fontId="150" fillId="4" borderId="0" xfId="0" applyNumberFormat="1" applyFont="1" applyFill="1" applyAlignment="1" applyProtection="1">
      <alignment horizontal="center" vertical="center"/>
    </xf>
    <xf numFmtId="10" fontId="143" fillId="19" borderId="240" xfId="0" applyNumberFormat="1" applyFont="1" applyFill="1" applyBorder="1" applyAlignment="1" applyProtection="1">
      <alignment horizontal="center" vertical="center"/>
    </xf>
    <xf numFmtId="10" fontId="143" fillId="19" borderId="250" xfId="0" applyNumberFormat="1" applyFont="1" applyFill="1" applyBorder="1" applyAlignment="1" applyProtection="1">
      <alignment horizontal="center" vertical="center"/>
    </xf>
    <xf numFmtId="10" fontId="143" fillId="19" borderId="299" xfId="0" applyNumberFormat="1" applyFont="1" applyFill="1" applyBorder="1" applyAlignment="1" applyProtection="1">
      <alignment horizontal="center" vertical="center"/>
    </xf>
    <xf numFmtId="0" fontId="159" fillId="4" borderId="0" xfId="0" applyFont="1" applyFill="1" applyAlignment="1" applyProtection="1">
      <alignment horizontal="right" vertical="center"/>
    </xf>
    <xf numFmtId="10" fontId="143" fillId="19" borderId="222" xfId="0" applyNumberFormat="1" applyFont="1" applyFill="1" applyBorder="1" applyAlignment="1" applyProtection="1">
      <alignment horizontal="center" vertical="center"/>
    </xf>
    <xf numFmtId="0" fontId="143" fillId="19" borderId="217" xfId="0" applyFont="1" applyFill="1" applyBorder="1" applyAlignment="1" applyProtection="1">
      <alignment horizontal="center" vertical="center"/>
    </xf>
    <xf numFmtId="10" fontId="143" fillId="19" borderId="214" xfId="0" applyNumberFormat="1" applyFont="1" applyFill="1" applyBorder="1" applyAlignment="1" applyProtection="1">
      <alignment horizontal="center" vertical="center"/>
    </xf>
    <xf numFmtId="10" fontId="143" fillId="19" borderId="0" xfId="0" applyNumberFormat="1" applyFont="1" applyFill="1" applyAlignment="1" applyProtection="1">
      <alignment horizontal="center" vertical="center"/>
    </xf>
    <xf numFmtId="0" fontId="143" fillId="19" borderId="214" xfId="0" applyFont="1" applyFill="1" applyBorder="1" applyAlignment="1" applyProtection="1">
      <alignment horizontal="center" vertical="center"/>
    </xf>
    <xf numFmtId="10" fontId="145" fillId="12" borderId="217" xfId="6" quotePrefix="1" applyNumberFormat="1" applyFont="1" applyFill="1" applyBorder="1" applyAlignment="1" applyProtection="1">
      <alignment horizontal="center" vertical="center"/>
    </xf>
    <xf numFmtId="10" fontId="145" fillId="12" borderId="132" xfId="6" applyNumberFormat="1" applyFont="1" applyFill="1" applyBorder="1" applyAlignment="1" applyProtection="1">
      <alignment horizontal="center" vertical="center"/>
    </xf>
    <xf numFmtId="10" fontId="145" fillId="12" borderId="133" xfId="6" applyNumberFormat="1" applyFont="1" applyFill="1" applyBorder="1" applyAlignment="1" applyProtection="1">
      <alignment horizontal="center" vertical="center"/>
    </xf>
    <xf numFmtId="10" fontId="145" fillId="12" borderId="299" xfId="6" applyNumberFormat="1" applyFont="1" applyFill="1" applyBorder="1" applyAlignment="1" applyProtection="1">
      <alignment horizontal="center" vertical="center"/>
    </xf>
    <xf numFmtId="10" fontId="145" fillId="12" borderId="218" xfId="6" applyNumberFormat="1" applyFont="1" applyFill="1" applyBorder="1" applyAlignment="1" applyProtection="1">
      <alignment horizontal="center" vertical="center"/>
    </xf>
    <xf numFmtId="10" fontId="145" fillId="12" borderId="0" xfId="6" applyNumberFormat="1" applyFont="1" applyFill="1" applyBorder="1" applyAlignment="1" applyProtection="1">
      <alignment horizontal="center" vertical="center"/>
    </xf>
    <xf numFmtId="10" fontId="145" fillId="12" borderId="214" xfId="6" applyNumberFormat="1" applyFont="1" applyFill="1" applyBorder="1" applyAlignment="1" applyProtection="1">
      <alignment horizontal="center" vertical="center"/>
    </xf>
    <xf numFmtId="10" fontId="145" fillId="12" borderId="217" xfId="6" applyNumberFormat="1" applyFont="1" applyFill="1" applyBorder="1" applyAlignment="1" applyProtection="1">
      <alignment horizontal="center" vertical="center"/>
    </xf>
    <xf numFmtId="0" fontId="256" fillId="4" borderId="0" xfId="0" applyFont="1" applyFill="1" applyAlignment="1" applyProtection="1">
      <alignment horizontal="left" vertical="center"/>
    </xf>
    <xf numFmtId="0" fontId="256" fillId="4" borderId="250" xfId="0" applyFont="1" applyFill="1" applyBorder="1" applyAlignment="1" applyProtection="1">
      <alignment horizontal="left" vertical="center"/>
    </xf>
    <xf numFmtId="0" fontId="256" fillId="4" borderId="0" xfId="0" applyFont="1" applyFill="1" applyAlignment="1" applyProtection="1">
      <alignment horizontal="left" vertical="center" wrapText="1"/>
    </xf>
    <xf numFmtId="0" fontId="256" fillId="4" borderId="250" xfId="0" applyFont="1" applyFill="1" applyBorder="1" applyAlignment="1" applyProtection="1">
      <alignment horizontal="left" vertical="center" wrapText="1"/>
    </xf>
    <xf numFmtId="10" fontId="145" fillId="12" borderId="133" xfId="0" applyNumberFormat="1" applyFont="1" applyFill="1" applyBorder="1" applyAlignment="1" applyProtection="1">
      <alignment horizontal="center" vertical="center"/>
    </xf>
    <xf numFmtId="10" fontId="145" fillId="12" borderId="132" xfId="0" applyNumberFormat="1" applyFont="1" applyFill="1" applyBorder="1" applyAlignment="1" applyProtection="1">
      <alignment horizontal="center" vertical="center"/>
    </xf>
    <xf numFmtId="10" fontId="145" fillId="12" borderId="130" xfId="0" applyNumberFormat="1" applyFont="1" applyFill="1" applyBorder="1" applyAlignment="1" applyProtection="1">
      <alignment horizontal="center" vertical="center"/>
    </xf>
    <xf numFmtId="10" fontId="145" fillId="12" borderId="129" xfId="0" applyNumberFormat="1" applyFont="1" applyFill="1" applyBorder="1" applyAlignment="1" applyProtection="1">
      <alignment horizontal="center" vertical="center"/>
    </xf>
    <xf numFmtId="1" fontId="159" fillId="4" borderId="130" xfId="0" applyNumberFormat="1" applyFont="1" applyFill="1" applyBorder="1" applyAlignment="1" applyProtection="1">
      <alignment horizontal="center" vertical="center"/>
    </xf>
    <xf numFmtId="0" fontId="159" fillId="4" borderId="129" xfId="0" applyFont="1" applyFill="1" applyBorder="1" applyAlignment="1" applyProtection="1">
      <alignment horizontal="center" vertical="center"/>
    </xf>
    <xf numFmtId="0" fontId="174" fillId="4" borderId="0" xfId="0" applyFont="1" applyFill="1" applyBorder="1" applyAlignment="1" applyProtection="1">
      <alignment horizontal="right" vertical="center"/>
    </xf>
    <xf numFmtId="0" fontId="174" fillId="4" borderId="250" xfId="0" applyFont="1" applyFill="1" applyBorder="1" applyAlignment="1" applyProtection="1">
      <alignment horizontal="right" vertical="center"/>
    </xf>
    <xf numFmtId="168" fontId="13" fillId="10" borderId="130" xfId="6" applyNumberFormat="1" applyFont="1" applyFill="1" applyBorder="1" applyAlignment="1" applyProtection="1">
      <alignment horizontal="center" vertical="center"/>
    </xf>
    <xf numFmtId="168" fontId="13" fillId="10" borderId="129" xfId="6" applyNumberFormat="1" applyFont="1" applyFill="1" applyBorder="1" applyAlignment="1" applyProtection="1">
      <alignment horizontal="center" vertical="center"/>
    </xf>
    <xf numFmtId="168" fontId="13" fillId="10" borderId="128" xfId="6" applyNumberFormat="1" applyFont="1" applyFill="1" applyBorder="1" applyAlignment="1" applyProtection="1">
      <alignment horizontal="center" vertical="center"/>
    </xf>
    <xf numFmtId="0" fontId="174" fillId="4" borderId="0" xfId="0" applyFont="1" applyFill="1" applyAlignment="1" applyProtection="1">
      <alignment horizontal="right" vertical="center"/>
    </xf>
    <xf numFmtId="0" fontId="150" fillId="4" borderId="0" xfId="0" applyFont="1" applyFill="1" applyBorder="1" applyAlignment="1" applyProtection="1">
      <alignment horizontal="center" vertical="center"/>
    </xf>
    <xf numFmtId="5" fontId="13" fillId="10" borderId="130" xfId="2" applyNumberFormat="1" applyFont="1" applyFill="1" applyBorder="1" applyAlignment="1" applyProtection="1">
      <alignment horizontal="center" vertical="center"/>
    </xf>
    <xf numFmtId="5" fontId="13" fillId="10" borderId="129" xfId="2" applyNumberFormat="1" applyFont="1" applyFill="1" applyBorder="1" applyAlignment="1" applyProtection="1">
      <alignment horizontal="center" vertical="center"/>
    </xf>
    <xf numFmtId="168" fontId="145" fillId="10" borderId="130" xfId="0" applyNumberFormat="1" applyFont="1" applyFill="1" applyBorder="1" applyAlignment="1" applyProtection="1">
      <alignment horizontal="center" vertical="center"/>
    </xf>
    <xf numFmtId="168" fontId="145" fillId="10" borderId="129" xfId="0" applyNumberFormat="1" applyFont="1" applyFill="1" applyBorder="1" applyAlignment="1" applyProtection="1">
      <alignment horizontal="center" vertical="center"/>
    </xf>
    <xf numFmtId="5" fontId="13" fillId="10" borderId="134" xfId="2" applyNumberFormat="1" applyFont="1" applyFill="1" applyBorder="1" applyAlignment="1" applyProtection="1">
      <alignment horizontal="center" vertical="center"/>
    </xf>
    <xf numFmtId="5" fontId="13" fillId="10" borderId="135" xfId="2" applyNumberFormat="1" applyFont="1" applyFill="1" applyBorder="1" applyAlignment="1" applyProtection="1">
      <alignment horizontal="center" vertical="center"/>
    </xf>
    <xf numFmtId="1" fontId="150" fillId="4" borderId="0" xfId="0" applyNumberFormat="1" applyFont="1" applyFill="1" applyBorder="1" applyAlignment="1" applyProtection="1">
      <alignment horizontal="center" vertical="center"/>
    </xf>
    <xf numFmtId="168" fontId="143" fillId="29" borderId="240" xfId="0" applyNumberFormat="1" applyFont="1" applyFill="1" applyBorder="1" applyAlignment="1" applyProtection="1">
      <alignment horizontal="center" vertical="center"/>
    </xf>
    <xf numFmtId="168" fontId="143" fillId="29" borderId="250" xfId="0" applyNumberFormat="1" applyFont="1" applyFill="1" applyBorder="1" applyAlignment="1" applyProtection="1">
      <alignment horizontal="center" vertical="center"/>
    </xf>
    <xf numFmtId="9" fontId="143" fillId="31" borderId="133" xfId="0" applyNumberFormat="1" applyFont="1" applyFill="1" applyBorder="1" applyAlignment="1" applyProtection="1">
      <alignment horizontal="center" vertical="center"/>
    </xf>
    <xf numFmtId="0" fontId="143" fillId="31" borderId="133" xfId="0" applyFont="1" applyFill="1" applyBorder="1" applyAlignment="1" applyProtection="1">
      <alignment horizontal="center" vertical="center"/>
    </xf>
    <xf numFmtId="9" fontId="143" fillId="31" borderId="132" xfId="0" applyNumberFormat="1" applyFont="1" applyFill="1" applyBorder="1" applyAlignment="1" applyProtection="1">
      <alignment horizontal="center" vertical="center"/>
    </xf>
    <xf numFmtId="0" fontId="143" fillId="31" borderId="132" xfId="0" applyFont="1" applyFill="1" applyBorder="1" applyAlignment="1" applyProtection="1">
      <alignment horizontal="center" vertical="center"/>
    </xf>
    <xf numFmtId="9" fontId="143" fillId="31" borderId="135" xfId="0" applyNumberFormat="1" applyFont="1" applyFill="1" applyBorder="1" applyAlignment="1" applyProtection="1">
      <alignment horizontal="center" vertical="center"/>
    </xf>
    <xf numFmtId="9" fontId="143" fillId="31" borderId="217" xfId="0" applyNumberFormat="1" applyFont="1" applyFill="1" applyBorder="1" applyAlignment="1" applyProtection="1">
      <alignment horizontal="center" vertical="center"/>
    </xf>
    <xf numFmtId="0" fontId="159" fillId="4" borderId="0" xfId="0" applyFont="1" applyFill="1" applyAlignment="1" applyProtection="1">
      <alignment horizontal="left" vertical="center"/>
    </xf>
    <xf numFmtId="0" fontId="157" fillId="4" borderId="0" xfId="0" applyFont="1" applyFill="1" applyAlignment="1" applyProtection="1">
      <alignment horizontal="left" vertical="center"/>
    </xf>
    <xf numFmtId="168" fontId="143" fillId="29" borderId="0" xfId="0" applyNumberFormat="1" applyFont="1" applyFill="1" applyAlignment="1" applyProtection="1">
      <alignment horizontal="center" vertical="center"/>
    </xf>
    <xf numFmtId="0" fontId="143" fillId="31" borderId="134" xfId="0" applyFont="1" applyFill="1" applyBorder="1" applyAlignment="1" applyProtection="1">
      <alignment horizontal="center" vertical="center"/>
    </xf>
    <xf numFmtId="0" fontId="143" fillId="31" borderId="222" xfId="0" applyFont="1" applyFill="1" applyBorder="1" applyAlignment="1" applyProtection="1">
      <alignment horizontal="center" vertical="center"/>
    </xf>
    <xf numFmtId="0" fontId="109" fillId="0" borderId="60" xfId="10" applyFont="1" applyBorder="1" applyAlignment="1" applyProtection="1">
      <alignment horizontal="center"/>
    </xf>
    <xf numFmtId="0" fontId="109" fillId="0" borderId="303" xfId="10" applyFont="1" applyBorder="1" applyAlignment="1" applyProtection="1">
      <alignment horizontal="center"/>
    </xf>
    <xf numFmtId="0" fontId="1" fillId="0" borderId="1" xfId="10" applyFont="1" applyFill="1" applyBorder="1" applyAlignment="1" applyProtection="1">
      <alignment horizontal="center" vertical="center" wrapText="1"/>
    </xf>
    <xf numFmtId="0" fontId="1" fillId="0" borderId="117" xfId="10" applyFont="1" applyFill="1" applyBorder="1" applyAlignment="1" applyProtection="1">
      <alignment horizontal="center" vertical="center" wrapText="1"/>
    </xf>
    <xf numFmtId="0" fontId="1" fillId="0" borderId="119" xfId="10" applyFont="1" applyFill="1" applyBorder="1" applyAlignment="1" applyProtection="1">
      <alignment horizontal="center" vertical="center" wrapText="1"/>
    </xf>
    <xf numFmtId="0" fontId="1" fillId="0" borderId="31" xfId="10" applyFont="1" applyBorder="1" applyAlignment="1" applyProtection="1">
      <alignment horizontal="center" vertical="center" wrapText="1"/>
    </xf>
    <xf numFmtId="0" fontId="1" fillId="0" borderId="32" xfId="10" applyFont="1" applyBorder="1" applyAlignment="1" applyProtection="1">
      <alignment horizontal="center" vertical="center" wrapText="1"/>
    </xf>
    <xf numFmtId="0" fontId="1" fillId="0" borderId="305" xfId="10" applyFont="1" applyBorder="1" applyAlignment="1" applyProtection="1">
      <alignment horizontal="center" vertical="center" wrapText="1"/>
    </xf>
    <xf numFmtId="0" fontId="1" fillId="0" borderId="17" xfId="10" applyFont="1" applyFill="1" applyBorder="1" applyAlignment="1" applyProtection="1">
      <alignment horizontal="center" vertical="center" wrapText="1"/>
    </xf>
    <xf numFmtId="0" fontId="1" fillId="0" borderId="8" xfId="10" applyFont="1" applyFill="1" applyBorder="1" applyAlignment="1" applyProtection="1">
      <alignment horizontal="center" vertical="center" wrapText="1"/>
    </xf>
    <xf numFmtId="0" fontId="1" fillId="0" borderId="17" xfId="10" applyFont="1" applyBorder="1" applyAlignment="1" applyProtection="1">
      <alignment horizontal="center" vertical="center" wrapText="1"/>
    </xf>
    <xf numFmtId="0" fontId="1" fillId="0" borderId="1" xfId="10" applyFont="1" applyBorder="1" applyAlignment="1" applyProtection="1">
      <alignment horizontal="center" vertical="center" wrapText="1"/>
    </xf>
    <xf numFmtId="0" fontId="1" fillId="0" borderId="8" xfId="10" applyFont="1" applyBorder="1" applyAlignment="1" applyProtection="1">
      <alignment horizontal="center" vertical="center" wrapText="1"/>
    </xf>
    <xf numFmtId="0" fontId="1" fillId="0" borderId="304" xfId="10" applyFont="1" applyFill="1" applyBorder="1" applyAlignment="1" applyProtection="1">
      <alignment horizontal="center" vertical="center" wrapText="1"/>
    </xf>
    <xf numFmtId="0" fontId="277" fillId="0" borderId="1" xfId="16" applyFont="1" applyBorder="1" applyAlignment="1" applyProtection="1">
      <alignment horizontal="center" vertical="center" wrapText="1"/>
    </xf>
    <xf numFmtId="0" fontId="277" fillId="0" borderId="1" xfId="16" applyFont="1" applyFill="1" applyBorder="1" applyAlignment="1" applyProtection="1">
      <alignment horizontal="center" vertical="center" wrapText="1"/>
    </xf>
    <xf numFmtId="0" fontId="171" fillId="4" borderId="1" xfId="0" applyFont="1" applyFill="1" applyBorder="1" applyAlignment="1">
      <alignment horizontal="left" vertical="top"/>
    </xf>
    <xf numFmtId="0" fontId="145" fillId="4" borderId="1" xfId="0" applyFont="1" applyFill="1" applyBorder="1" applyAlignment="1" applyProtection="1">
      <alignment horizontal="left" vertical="top" wrapText="1"/>
      <protection locked="0"/>
    </xf>
    <xf numFmtId="0" fontId="145" fillId="4" borderId="1" xfId="0" applyFont="1" applyFill="1" applyBorder="1" applyAlignment="1">
      <alignment horizontal="left" vertical="top"/>
    </xf>
    <xf numFmtId="0" fontId="281" fillId="4" borderId="310" xfId="0" applyFont="1" applyFill="1" applyBorder="1" applyAlignment="1" applyProtection="1">
      <alignment horizontal="center" vertical="center" wrapText="1"/>
    </xf>
    <xf numFmtId="0" fontId="281" fillId="4" borderId="309" xfId="0" applyFont="1" applyFill="1" applyBorder="1" applyAlignment="1" applyProtection="1">
      <alignment horizontal="center" vertical="center" wrapText="1"/>
    </xf>
    <xf numFmtId="0" fontId="281" fillId="4" borderId="311" xfId="0" applyFont="1" applyFill="1" applyBorder="1" applyAlignment="1" applyProtection="1">
      <alignment horizontal="center" vertical="center" wrapText="1"/>
    </xf>
    <xf numFmtId="0" fontId="281" fillId="4" borderId="312" xfId="0" applyFont="1" applyFill="1" applyBorder="1" applyAlignment="1" applyProtection="1">
      <alignment horizontal="center" vertical="center" wrapText="1"/>
    </xf>
    <xf numFmtId="0" fontId="281" fillId="4" borderId="313" xfId="0" applyFont="1" applyFill="1" applyBorder="1" applyAlignment="1" applyProtection="1">
      <alignment horizontal="center" vertical="center" wrapText="1"/>
    </xf>
    <xf numFmtId="0" fontId="281" fillId="4" borderId="314" xfId="0" applyFont="1" applyFill="1" applyBorder="1" applyAlignment="1" applyProtection="1">
      <alignment horizontal="center" vertical="center" wrapText="1"/>
    </xf>
    <xf numFmtId="0" fontId="286" fillId="4" borderId="0" xfId="0" applyFont="1" applyFill="1" applyBorder="1" applyAlignment="1" applyProtection="1">
      <alignment horizontal="center" vertical="top" wrapText="1"/>
    </xf>
    <xf numFmtId="0" fontId="287" fillId="4" borderId="0" xfId="0" applyFont="1" applyFill="1" applyBorder="1" applyAlignment="1" applyProtection="1">
      <alignment horizontal="left" vertical="top" wrapText="1"/>
    </xf>
    <xf numFmtId="0" fontId="286" fillId="4" borderId="0" xfId="0" applyFont="1" applyFill="1" applyBorder="1" applyAlignment="1" applyProtection="1">
      <alignment horizontal="center" vertical="top" wrapText="1"/>
    </xf>
    <xf numFmtId="0" fontId="139" fillId="4" borderId="315" xfId="0" applyFont="1" applyFill="1" applyBorder="1" applyAlignment="1" applyProtection="1">
      <alignment horizontal="left" vertical="top" wrapText="1"/>
    </xf>
    <xf numFmtId="0" fontId="139" fillId="4" borderId="316" xfId="0" applyFont="1" applyFill="1" applyBorder="1" applyAlignment="1" applyProtection="1">
      <alignment horizontal="left" vertical="top" wrapText="1"/>
    </xf>
    <xf numFmtId="0" fontId="0" fillId="4" borderId="316" xfId="0" applyFill="1" applyBorder="1" applyProtection="1"/>
    <xf numFmtId="0" fontId="0" fillId="4" borderId="317" xfId="0" applyFill="1" applyBorder="1" applyProtection="1"/>
    <xf numFmtId="0" fontId="140" fillId="4" borderId="318" xfId="0" applyFont="1" applyFill="1" applyBorder="1" applyAlignment="1" applyProtection="1">
      <alignment vertical="top" wrapText="1"/>
    </xf>
    <xf numFmtId="0" fontId="140" fillId="4" borderId="319" xfId="0" applyFont="1" applyFill="1" applyBorder="1" applyAlignment="1" applyProtection="1">
      <alignment vertical="top" wrapText="1"/>
    </xf>
    <xf numFmtId="0" fontId="140" fillId="4" borderId="318" xfId="0" applyFont="1" applyFill="1" applyBorder="1" applyAlignment="1" applyProtection="1">
      <alignment horizontal="center" vertical="top" wrapText="1"/>
    </xf>
    <xf numFmtId="0" fontId="140" fillId="4" borderId="319" xfId="0" applyFont="1" applyFill="1" applyBorder="1" applyAlignment="1" applyProtection="1">
      <alignment horizontal="center" vertical="top" wrapText="1"/>
    </xf>
    <xf numFmtId="0" fontId="141" fillId="4" borderId="318" xfId="0" applyFont="1" applyFill="1" applyBorder="1" applyAlignment="1" applyProtection="1">
      <alignment vertical="top" wrapText="1"/>
    </xf>
    <xf numFmtId="0" fontId="0" fillId="4" borderId="319" xfId="0" applyFill="1" applyBorder="1" applyProtection="1"/>
    <xf numFmtId="0" fontId="15" fillId="4" borderId="318" xfId="0" applyFont="1" applyFill="1" applyBorder="1" applyAlignment="1" applyProtection="1">
      <alignment vertical="top" wrapText="1"/>
    </xf>
    <xf numFmtId="0" fontId="142" fillId="4" borderId="318" xfId="0" applyFont="1" applyFill="1" applyBorder="1" applyAlignment="1" applyProtection="1">
      <alignment vertical="top" wrapText="1"/>
    </xf>
    <xf numFmtId="0" fontId="143" fillId="4" borderId="318" xfId="0" applyFont="1" applyFill="1" applyBorder="1" applyProtection="1"/>
    <xf numFmtId="0" fontId="0" fillId="4" borderId="318" xfId="0" applyFill="1" applyBorder="1" applyProtection="1"/>
    <xf numFmtId="0" fontId="0" fillId="4" borderId="320" xfId="0" applyFill="1" applyBorder="1" applyProtection="1"/>
    <xf numFmtId="0" fontId="0" fillId="4" borderId="321" xfId="0" applyFill="1" applyBorder="1" applyProtection="1"/>
    <xf numFmtId="0" fontId="0" fillId="4" borderId="322" xfId="0" applyFill="1" applyBorder="1" applyProtection="1"/>
    <xf numFmtId="0" fontId="149" fillId="43" borderId="29" xfId="0" applyFont="1" applyFill="1" applyBorder="1" applyAlignment="1" applyProtection="1">
      <alignment vertical="center"/>
    </xf>
    <xf numFmtId="3" fontId="149" fillId="43" borderId="3" xfId="0" applyNumberFormat="1" applyFont="1" applyFill="1" applyBorder="1" applyAlignment="1" applyProtection="1">
      <alignment horizontal="center" vertical="center"/>
    </xf>
    <xf numFmtId="3" fontId="149" fillId="43" borderId="4" xfId="0" applyNumberFormat="1" applyFont="1" applyFill="1" applyBorder="1" applyAlignment="1" applyProtection="1">
      <alignment horizontal="center" vertical="center"/>
    </xf>
    <xf numFmtId="3" fontId="149" fillId="43" borderId="11" xfId="0" applyNumberFormat="1" applyFont="1" applyFill="1" applyBorder="1" applyAlignment="1" applyProtection="1">
      <alignment horizontal="center" vertical="center"/>
    </xf>
    <xf numFmtId="3" fontId="149" fillId="43" borderId="30" xfId="0" applyNumberFormat="1" applyFont="1" applyFill="1" applyBorder="1" applyAlignment="1" applyProtection="1">
      <alignment horizontal="center" vertical="center"/>
    </xf>
    <xf numFmtId="0" fontId="149" fillId="43" borderId="29" xfId="0" applyFont="1" applyFill="1" applyBorder="1" applyAlignment="1" applyProtection="1">
      <alignment horizontal="left" vertical="center"/>
    </xf>
    <xf numFmtId="0" fontId="290" fillId="4" borderId="29" xfId="0" applyFont="1" applyFill="1" applyBorder="1" applyAlignment="1" applyProtection="1">
      <alignment horizontal="left" vertical="center"/>
    </xf>
    <xf numFmtId="3" fontId="291" fillId="4" borderId="3" xfId="0" applyNumberFormat="1" applyFont="1" applyFill="1" applyBorder="1" applyAlignment="1" applyProtection="1">
      <alignment horizontal="right" vertical="center"/>
    </xf>
    <xf numFmtId="3" fontId="291" fillId="4" borderId="4" xfId="0" applyNumberFormat="1" applyFont="1" applyFill="1" applyBorder="1" applyAlignment="1" applyProtection="1">
      <alignment horizontal="right" vertical="center"/>
    </xf>
    <xf numFmtId="3" fontId="291" fillId="4" borderId="11" xfId="0" applyNumberFormat="1" applyFont="1" applyFill="1" applyBorder="1" applyAlignment="1" applyProtection="1">
      <alignment horizontal="right" vertical="center"/>
    </xf>
    <xf numFmtId="3" fontId="291" fillId="4" borderId="30" xfId="0" applyNumberFormat="1" applyFont="1" applyFill="1" applyBorder="1" applyAlignment="1" applyProtection="1">
      <alignment horizontal="right" vertical="center"/>
    </xf>
    <xf numFmtId="0" fontId="19" fillId="44" borderId="29" xfId="0" applyFont="1" applyFill="1" applyBorder="1" applyAlignment="1" applyProtection="1">
      <alignment horizontal="right" vertical="center"/>
    </xf>
    <xf numFmtId="4" fontId="19" fillId="44" borderId="3" xfId="0" applyNumberFormat="1" applyFont="1" applyFill="1" applyBorder="1" applyAlignment="1" applyProtection="1">
      <alignment horizontal="right" vertical="center"/>
    </xf>
    <xf numFmtId="4" fontId="19" fillId="44" borderId="30" xfId="0" applyNumberFormat="1" applyFont="1" applyFill="1" applyBorder="1" applyAlignment="1" applyProtection="1">
      <alignment vertical="center"/>
    </xf>
    <xf numFmtId="0" fontId="19" fillId="44" borderId="11" xfId="0" applyFont="1" applyFill="1" applyBorder="1" applyAlignment="1" applyProtection="1">
      <alignment horizontal="right" vertical="center"/>
    </xf>
    <xf numFmtId="4" fontId="19" fillId="44" borderId="11" xfId="0" applyNumberFormat="1" applyFont="1" applyFill="1" applyBorder="1" applyAlignment="1" applyProtection="1">
      <alignment horizontal="right" vertical="center"/>
    </xf>
    <xf numFmtId="4" fontId="19" fillId="44" borderId="30" xfId="0" applyNumberFormat="1" applyFont="1" applyFill="1" applyBorder="1" applyAlignment="1" applyProtection="1">
      <alignment horizontal="right" vertical="center"/>
    </xf>
    <xf numFmtId="4" fontId="19" fillId="44" borderId="65" xfId="0" applyNumberFormat="1" applyFont="1" applyFill="1" applyBorder="1" applyAlignment="1" applyProtection="1">
      <alignment horizontal="right" vertical="center"/>
    </xf>
    <xf numFmtId="0" fontId="292" fillId="4" borderId="0" xfId="0" applyFont="1" applyFill="1" applyAlignment="1" applyProtection="1">
      <alignment horizontal="center" vertical="center" wrapText="1"/>
    </xf>
    <xf numFmtId="0" fontId="293" fillId="4" borderId="0" xfId="0" applyFont="1" applyFill="1" applyBorder="1" applyAlignment="1" applyProtection="1">
      <alignment horizontal="center" vertical="center"/>
    </xf>
    <xf numFmtId="1" fontId="293" fillId="4" borderId="2" xfId="0" applyNumberFormat="1" applyFont="1" applyFill="1" applyBorder="1" applyAlignment="1" applyProtection="1">
      <alignment horizontal="center" vertical="center"/>
    </xf>
    <xf numFmtId="0" fontId="159" fillId="44" borderId="78" xfId="0" applyFont="1" applyFill="1" applyBorder="1" applyAlignment="1" applyProtection="1">
      <alignment horizontal="left" vertical="center"/>
    </xf>
    <xf numFmtId="0" fontId="159" fillId="44" borderId="46" xfId="0" applyFont="1" applyFill="1" applyBorder="1" applyAlignment="1" applyProtection="1">
      <alignment horizontal="left" vertical="center"/>
    </xf>
    <xf numFmtId="0" fontId="159" fillId="44" borderId="47" xfId="0" applyFont="1" applyFill="1" applyBorder="1" applyAlignment="1" applyProtection="1">
      <alignment horizontal="left" vertical="center"/>
    </xf>
    <xf numFmtId="170" fontId="143" fillId="44" borderId="1" xfId="0" applyNumberFormat="1" applyFont="1" applyFill="1" applyBorder="1" applyAlignment="1" applyProtection="1">
      <alignment horizontal="center" vertical="center"/>
    </xf>
    <xf numFmtId="0" fontId="172" fillId="4" borderId="323" xfId="0" quotePrefix="1" applyFont="1" applyFill="1" applyBorder="1" applyAlignment="1" applyProtection="1">
      <alignment horizontal="left" vertical="center" wrapText="1"/>
    </xf>
    <xf numFmtId="0" fontId="154" fillId="4" borderId="323" xfId="0" applyFont="1" applyFill="1" applyBorder="1" applyAlignment="1" applyProtection="1">
      <alignment horizontal="left" vertical="center" wrapText="1"/>
    </xf>
    <xf numFmtId="170" fontId="153" fillId="4" borderId="323" xfId="2" applyNumberFormat="1" applyFont="1" applyFill="1" applyBorder="1" applyAlignment="1" applyProtection="1">
      <alignment horizontal="center" vertical="center"/>
    </xf>
    <xf numFmtId="0" fontId="294" fillId="4" borderId="323" xfId="0" applyFont="1" applyFill="1" applyBorder="1" applyAlignment="1" applyProtection="1">
      <alignment horizontal="left" vertical="center" wrapText="1"/>
    </xf>
    <xf numFmtId="170" fontId="143" fillId="4" borderId="323" xfId="2" applyNumberFormat="1" applyFont="1" applyFill="1" applyBorder="1" applyAlignment="1" applyProtection="1">
      <alignment horizontal="center" vertical="center"/>
      <protection locked="0"/>
    </xf>
    <xf numFmtId="0" fontId="298" fillId="4" borderId="0" xfId="0" applyFont="1" applyFill="1" applyBorder="1" applyAlignment="1" applyProtection="1">
      <alignment horizontal="center" vertical="center"/>
    </xf>
    <xf numFmtId="0" fontId="295" fillId="4" borderId="4" xfId="0" applyFont="1" applyFill="1" applyBorder="1" applyAlignment="1" applyProtection="1">
      <alignment horizontal="left" vertical="center" wrapText="1"/>
    </xf>
    <xf numFmtId="0" fontId="295" fillId="4" borderId="0" xfId="0" quotePrefix="1" applyFont="1" applyFill="1" applyBorder="1" applyAlignment="1" applyProtection="1">
      <alignment horizontal="left" vertical="center" wrapText="1"/>
    </xf>
    <xf numFmtId="0" fontId="295" fillId="4" borderId="126" xfId="0" quotePrefix="1" applyFont="1" applyFill="1" applyBorder="1" applyAlignment="1" applyProtection="1">
      <alignment horizontal="left" vertical="center" wrapText="1"/>
    </xf>
    <xf numFmtId="4" fontId="295" fillId="4" borderId="127" xfId="0" applyNumberFormat="1" applyFont="1" applyFill="1" applyBorder="1" applyAlignment="1" applyProtection="1">
      <alignment horizontal="center" vertical="center"/>
    </xf>
    <xf numFmtId="0" fontId="295" fillId="4" borderId="125" xfId="0" applyFont="1" applyFill="1" applyBorder="1" applyAlignment="1" applyProtection="1">
      <alignment horizontal="left" vertical="center"/>
    </xf>
    <xf numFmtId="0" fontId="295" fillId="4" borderId="0" xfId="0" applyFont="1" applyFill="1" applyBorder="1" applyAlignment="1" applyProtection="1">
      <alignment horizontal="left" vertical="center"/>
    </xf>
    <xf numFmtId="0" fontId="295" fillId="4" borderId="126" xfId="0" applyFont="1" applyFill="1" applyBorder="1" applyAlignment="1" applyProtection="1">
      <alignment horizontal="left" vertical="center"/>
    </xf>
    <xf numFmtId="0" fontId="149" fillId="45" borderId="127" xfId="0" applyFont="1" applyFill="1" applyBorder="1" applyAlignment="1" applyProtection="1">
      <alignment horizontal="left" vertical="center" wrapText="1"/>
    </xf>
    <xf numFmtId="4" fontId="149" fillId="45" borderId="127" xfId="0" applyNumberFormat="1" applyFont="1" applyFill="1" applyBorder="1" applyAlignment="1" applyProtection="1">
      <alignment horizontal="center" vertical="center"/>
    </xf>
    <xf numFmtId="0" fontId="149" fillId="45" borderId="127" xfId="0" quotePrefix="1" applyFont="1" applyFill="1" applyBorder="1" applyAlignment="1" applyProtection="1">
      <alignment horizontal="left" vertical="center" wrapText="1"/>
    </xf>
    <xf numFmtId="0" fontId="299" fillId="4" borderId="1" xfId="0" applyFont="1" applyFill="1" applyBorder="1" applyAlignment="1" applyProtection="1">
      <alignment horizontal="center" vertical="center"/>
    </xf>
    <xf numFmtId="0" fontId="300" fillId="4" borderId="76" xfId="0" applyFont="1" applyFill="1" applyBorder="1" applyAlignment="1" applyProtection="1">
      <alignment horizontal="left" vertical="center"/>
    </xf>
    <xf numFmtId="0" fontId="300" fillId="4" borderId="95" xfId="0" applyFont="1" applyFill="1" applyBorder="1" applyAlignment="1" applyProtection="1">
      <alignment horizontal="left" vertical="center"/>
    </xf>
    <xf numFmtId="0" fontId="300" fillId="4" borderId="96" xfId="0" applyFont="1" applyFill="1" applyBorder="1" applyAlignment="1" applyProtection="1">
      <alignment horizontal="left" vertical="center"/>
    </xf>
    <xf numFmtId="0" fontId="300" fillId="4" borderId="10" xfId="0" applyFont="1" applyFill="1" applyBorder="1" applyAlignment="1" applyProtection="1">
      <alignment horizontal="left" vertical="center"/>
    </xf>
    <xf numFmtId="0" fontId="300" fillId="4" borderId="85" xfId="0" applyFont="1" applyFill="1" applyBorder="1" applyAlignment="1" applyProtection="1">
      <alignment horizontal="left" vertical="center"/>
    </xf>
    <xf numFmtId="0" fontId="300" fillId="4" borderId="15" xfId="0" applyFont="1" applyFill="1" applyBorder="1" applyAlignment="1" applyProtection="1">
      <alignment horizontal="left" vertical="center"/>
    </xf>
    <xf numFmtId="0" fontId="300" fillId="4" borderId="77" xfId="0" applyFont="1" applyFill="1" applyBorder="1" applyAlignment="1" applyProtection="1">
      <alignment horizontal="left" vertical="center"/>
    </xf>
    <xf numFmtId="0" fontId="300" fillId="4" borderId="48" xfId="0" applyFont="1" applyFill="1" applyBorder="1" applyAlignment="1" applyProtection="1">
      <alignment horizontal="left" vertical="center"/>
    </xf>
    <xf numFmtId="0" fontId="298" fillId="4" borderId="324" xfId="0" applyFont="1" applyFill="1" applyBorder="1" applyAlignment="1" applyProtection="1">
      <alignment horizontal="center" vertical="center"/>
    </xf>
    <xf numFmtId="0" fontId="298" fillId="4" borderId="325" xfId="0" applyFont="1" applyFill="1" applyBorder="1" applyAlignment="1" applyProtection="1">
      <alignment horizontal="center" vertical="center"/>
    </xf>
    <xf numFmtId="0" fontId="298" fillId="4" borderId="326" xfId="0" applyFont="1" applyFill="1" applyBorder="1" applyAlignment="1" applyProtection="1">
      <alignment horizontal="center" vertical="center"/>
    </xf>
    <xf numFmtId="0" fontId="293" fillId="4" borderId="44" xfId="0" applyFont="1" applyFill="1" applyBorder="1" applyAlignment="1" applyProtection="1">
      <alignment vertical="center"/>
    </xf>
    <xf numFmtId="0" fontId="298" fillId="4" borderId="44" xfId="0" applyFont="1" applyFill="1" applyBorder="1" applyAlignment="1" applyProtection="1">
      <alignment vertical="center"/>
    </xf>
    <xf numFmtId="0" fontId="301" fillId="4" borderId="0" xfId="0" applyFont="1" applyFill="1" applyBorder="1" applyAlignment="1" applyProtection="1">
      <alignment horizontal="left" vertical="center"/>
    </xf>
    <xf numFmtId="0" fontId="302" fillId="4" borderId="0" xfId="0" applyFont="1" applyFill="1" applyBorder="1" applyAlignment="1" applyProtection="1">
      <alignment horizontal="center" vertical="center"/>
    </xf>
    <xf numFmtId="165" fontId="303" fillId="4" borderId="0" xfId="0" applyNumberFormat="1" applyFont="1" applyFill="1" applyBorder="1" applyProtection="1"/>
    <xf numFmtId="0" fontId="289" fillId="4" borderId="1" xfId="0" applyFont="1" applyFill="1" applyBorder="1" applyAlignment="1" applyProtection="1">
      <alignment horizontal="left" vertical="center" wrapText="1"/>
    </xf>
    <xf numFmtId="0" fontId="289" fillId="4" borderId="1" xfId="0" applyFont="1" applyFill="1" applyBorder="1" applyAlignment="1" applyProtection="1">
      <alignment horizontal="center" vertical="center" wrapText="1"/>
    </xf>
    <xf numFmtId="0" fontId="289" fillId="4" borderId="1" xfId="0" applyFont="1" applyFill="1" applyBorder="1" applyAlignment="1" applyProtection="1">
      <alignment horizontal="center" vertical="center"/>
    </xf>
    <xf numFmtId="0" fontId="296" fillId="4" borderId="43" xfId="0" applyFont="1" applyFill="1" applyBorder="1" applyAlignment="1" applyProtection="1">
      <alignment horizontal="left" vertical="center" wrapText="1"/>
    </xf>
    <xf numFmtId="0" fontId="289" fillId="4" borderId="43" xfId="0" applyFont="1" applyFill="1" applyBorder="1" applyAlignment="1" applyProtection="1">
      <alignment horizontal="center" vertical="center"/>
    </xf>
    <xf numFmtId="0" fontId="296" fillId="4" borderId="43" xfId="0" applyFont="1" applyFill="1" applyBorder="1" applyAlignment="1" applyProtection="1">
      <alignment horizontal="center" vertical="center"/>
    </xf>
    <xf numFmtId="0" fontId="296" fillId="4" borderId="52" xfId="0" applyFont="1" applyFill="1" applyBorder="1" applyAlignment="1" applyProtection="1">
      <alignment horizontal="left" vertical="center" wrapText="1"/>
    </xf>
    <xf numFmtId="0" fontId="296" fillId="4" borderId="38" xfId="0" applyFont="1" applyFill="1" applyBorder="1" applyAlignment="1" applyProtection="1">
      <alignment horizontal="center" vertical="center"/>
    </xf>
    <xf numFmtId="0" fontId="289" fillId="4" borderId="52" xfId="0" applyFont="1" applyFill="1" applyBorder="1" applyAlignment="1" applyProtection="1">
      <alignment horizontal="left" vertical="center" wrapText="1"/>
    </xf>
    <xf numFmtId="0" fontId="289" fillId="4" borderId="38" xfId="0" applyFont="1" applyFill="1" applyBorder="1" applyAlignment="1" applyProtection="1">
      <alignment horizontal="center" vertical="center"/>
    </xf>
    <xf numFmtId="9" fontId="289" fillId="4" borderId="38" xfId="0" applyNumberFormat="1" applyFont="1" applyFill="1" applyBorder="1" applyAlignment="1" applyProtection="1">
      <alignment horizontal="center" vertical="center"/>
    </xf>
    <xf numFmtId="0" fontId="289" fillId="4" borderId="52" xfId="0" applyFont="1" applyFill="1" applyBorder="1" applyAlignment="1" applyProtection="1">
      <alignment horizontal="center" vertical="center"/>
    </xf>
    <xf numFmtId="0" fontId="296" fillId="4" borderId="52" xfId="0" applyFont="1" applyFill="1" applyBorder="1" applyAlignment="1" applyProtection="1">
      <alignment horizontal="center" vertical="center"/>
    </xf>
    <xf numFmtId="10" fontId="289" fillId="4" borderId="52" xfId="0" applyNumberFormat="1" applyFont="1" applyFill="1" applyBorder="1" applyAlignment="1" applyProtection="1">
      <alignment horizontal="center" vertical="center"/>
    </xf>
    <xf numFmtId="0" fontId="289" fillId="4" borderId="61" xfId="0" applyFont="1" applyFill="1" applyBorder="1" applyAlignment="1" applyProtection="1">
      <alignment horizontal="left" vertical="center" wrapText="1"/>
    </xf>
    <xf numFmtId="0" fontId="289" fillId="4" borderId="61" xfId="0" applyFont="1" applyFill="1" applyBorder="1" applyAlignment="1" applyProtection="1">
      <alignment horizontal="center" vertical="center"/>
    </xf>
    <xf numFmtId="9" fontId="289" fillId="4" borderId="61" xfId="0" applyNumberFormat="1" applyFont="1" applyFill="1" applyBorder="1" applyAlignment="1" applyProtection="1">
      <alignment horizontal="center" vertical="center"/>
    </xf>
    <xf numFmtId="0" fontId="289" fillId="4" borderId="38" xfId="0" applyFont="1" applyFill="1" applyBorder="1" applyAlignment="1" applyProtection="1">
      <alignment horizontal="left" vertical="center" wrapText="1"/>
    </xf>
    <xf numFmtId="9" fontId="289" fillId="4" borderId="52" xfId="0" applyNumberFormat="1" applyFont="1" applyFill="1" applyBorder="1" applyAlignment="1" applyProtection="1">
      <alignment horizontal="center" vertical="center"/>
    </xf>
    <xf numFmtId="0" fontId="146" fillId="4" borderId="0" xfId="4" applyFont="1" applyFill="1" applyBorder="1" applyAlignment="1" applyProtection="1">
      <alignment horizontal="center" vertical="center" wrapText="1"/>
    </xf>
    <xf numFmtId="0" fontId="304" fillId="4" borderId="324" xfId="4" applyFont="1" applyFill="1" applyBorder="1" applyAlignment="1" applyProtection="1">
      <alignment horizontal="center" vertical="center" wrapText="1"/>
    </xf>
    <xf numFmtId="0" fontId="304" fillId="4" borderId="325" xfId="4" applyFont="1" applyFill="1" applyBorder="1" applyAlignment="1" applyProtection="1">
      <alignment horizontal="center" vertical="center" wrapText="1"/>
    </xf>
    <xf numFmtId="0" fontId="304" fillId="4" borderId="326" xfId="4" applyFont="1" applyFill="1" applyBorder="1" applyAlignment="1" applyProtection="1">
      <alignment horizontal="center" vertical="center" wrapText="1"/>
    </xf>
    <xf numFmtId="0" fontId="295" fillId="4" borderId="3" xfId="4" applyFont="1" applyFill="1" applyBorder="1" applyAlignment="1" applyProtection="1">
      <alignment vertical="center"/>
    </xf>
    <xf numFmtId="0" fontId="305" fillId="4" borderId="3" xfId="4" applyFont="1" applyFill="1" applyBorder="1" applyAlignment="1" applyProtection="1">
      <alignment vertical="center"/>
    </xf>
    <xf numFmtId="3" fontId="305" fillId="44" borderId="25" xfId="4" applyNumberFormat="1" applyFont="1" applyFill="1" applyBorder="1" applyAlignment="1" applyProtection="1">
      <alignment horizontal="center" vertical="center"/>
    </xf>
    <xf numFmtId="3" fontId="294" fillId="44" borderId="25" xfId="4" applyNumberFormat="1" applyFont="1" applyFill="1" applyBorder="1" applyAlignment="1" applyProtection="1">
      <alignment horizontal="center" vertical="center"/>
    </xf>
    <xf numFmtId="3" fontId="305" fillId="44" borderId="239" xfId="4" applyNumberFormat="1" applyFont="1" applyFill="1" applyBorder="1" applyAlignment="1" applyProtection="1">
      <alignment horizontal="center" vertical="center"/>
    </xf>
    <xf numFmtId="3" fontId="295" fillId="4" borderId="239" xfId="4" applyNumberFormat="1" applyFont="1" applyFill="1" applyBorder="1" applyAlignment="1" applyProtection="1">
      <alignment horizontal="center" vertical="center"/>
      <protection locked="0"/>
    </xf>
    <xf numFmtId="3" fontId="305" fillId="26" borderId="25" xfId="4" applyNumberFormat="1" applyFont="1" applyFill="1" applyBorder="1" applyAlignment="1" applyProtection="1">
      <alignment horizontal="center" vertical="center"/>
      <protection locked="0"/>
    </xf>
    <xf numFmtId="3" fontId="294" fillId="4" borderId="239" xfId="4" applyNumberFormat="1" applyFont="1" applyFill="1" applyBorder="1" applyAlignment="1" applyProtection="1">
      <alignment horizontal="center" vertical="center"/>
      <protection locked="0"/>
    </xf>
    <xf numFmtId="3" fontId="294" fillId="26" borderId="25" xfId="4" applyNumberFormat="1" applyFont="1" applyFill="1" applyBorder="1" applyAlignment="1" applyProtection="1">
      <alignment horizontal="center" vertical="center"/>
      <protection locked="0"/>
    </xf>
    <xf numFmtId="3" fontId="149" fillId="45" borderId="239" xfId="4" applyNumberFormat="1" applyFont="1" applyFill="1" applyBorder="1" applyAlignment="1" applyProtection="1">
      <alignment horizontal="center" vertical="center"/>
    </xf>
    <xf numFmtId="3" fontId="149" fillId="45" borderId="3" xfId="4" applyNumberFormat="1" applyFont="1" applyFill="1" applyBorder="1" applyAlignment="1" applyProtection="1">
      <alignment horizontal="center" vertical="center"/>
    </xf>
    <xf numFmtId="3" fontId="182" fillId="45" borderId="25" xfId="4" applyNumberFormat="1" applyFont="1" applyFill="1" applyBorder="1" applyAlignment="1" applyProtection="1">
      <alignment horizontal="center" vertical="center"/>
    </xf>
    <xf numFmtId="3" fontId="149" fillId="45" borderId="241" xfId="4" applyNumberFormat="1" applyFont="1" applyFill="1" applyBorder="1" applyAlignment="1" applyProtection="1">
      <alignment horizontal="center" vertical="center"/>
    </xf>
    <xf numFmtId="3" fontId="167" fillId="45" borderId="25" xfId="4" applyNumberFormat="1" applyFont="1" applyFill="1" applyBorder="1" applyAlignment="1" applyProtection="1">
      <alignment horizontal="center" vertical="center"/>
    </xf>
    <xf numFmtId="0" fontId="304" fillId="4" borderId="327" xfId="0" applyFont="1" applyFill="1" applyBorder="1" applyAlignment="1" applyProtection="1">
      <alignment horizontal="center" vertical="center" wrapText="1"/>
    </xf>
    <xf numFmtId="0" fontId="304" fillId="4" borderId="328" xfId="0" applyFont="1" applyFill="1" applyBorder="1" applyAlignment="1" applyProtection="1">
      <alignment horizontal="center" vertical="center" wrapText="1"/>
    </xf>
    <xf numFmtId="0" fontId="304" fillId="4" borderId="329" xfId="0" applyFont="1" applyFill="1" applyBorder="1" applyAlignment="1" applyProtection="1">
      <alignment horizontal="center" vertical="center" wrapText="1"/>
    </xf>
    <xf numFmtId="0" fontId="300" fillId="4" borderId="288" xfId="0" applyFont="1" applyFill="1" applyBorder="1" applyAlignment="1" applyProtection="1">
      <alignment horizontal="center" vertical="center" wrapText="1"/>
    </xf>
    <xf numFmtId="0" fontId="300" fillId="4" borderId="289" xfId="0" applyFont="1" applyFill="1" applyBorder="1" applyAlignment="1" applyProtection="1">
      <alignment horizontal="center" vertical="center" wrapText="1"/>
    </xf>
    <xf numFmtId="3" fontId="300" fillId="29" borderId="226" xfId="0" applyNumberFormat="1" applyFont="1" applyFill="1" applyBorder="1" applyAlignment="1" applyProtection="1">
      <alignment horizontal="center" vertical="center" wrapText="1"/>
    </xf>
    <xf numFmtId="0" fontId="300" fillId="4" borderId="284" xfId="0" applyFont="1" applyFill="1" applyBorder="1" applyAlignment="1" applyProtection="1">
      <alignment horizontal="center" vertical="center"/>
    </xf>
    <xf numFmtId="0" fontId="300" fillId="4" borderId="285" xfId="0" applyFont="1" applyFill="1" applyBorder="1" applyAlignment="1" applyProtection="1">
      <alignment horizontal="center" vertical="center"/>
    </xf>
    <xf numFmtId="3" fontId="300" fillId="32" borderId="238" xfId="0" applyNumberFormat="1" applyFont="1" applyFill="1" applyBorder="1" applyAlignment="1" applyProtection="1">
      <alignment horizontal="center" vertical="center"/>
    </xf>
    <xf numFmtId="0" fontId="300" fillId="4" borderId="288" xfId="0" applyFont="1" applyFill="1" applyBorder="1" applyAlignment="1" applyProtection="1">
      <alignment horizontal="center" vertical="center"/>
    </xf>
    <xf numFmtId="0" fontId="300" fillId="4" borderId="289" xfId="0" applyFont="1" applyFill="1" applyBorder="1" applyAlignment="1" applyProtection="1">
      <alignment horizontal="center" vertical="center"/>
    </xf>
    <xf numFmtId="0" fontId="300" fillId="4" borderId="290" xfId="0" applyFont="1" applyFill="1" applyBorder="1" applyAlignment="1" applyProtection="1">
      <alignment horizontal="center" vertical="center"/>
    </xf>
    <xf numFmtId="3" fontId="300" fillId="29" borderId="226" xfId="0" applyNumberFormat="1" applyFont="1" applyFill="1" applyBorder="1" applyAlignment="1" applyProtection="1">
      <alignment horizontal="center" vertical="center"/>
    </xf>
    <xf numFmtId="0" fontId="306" fillId="4" borderId="4" xfId="0" applyFont="1" applyFill="1" applyBorder="1" applyAlignment="1" applyProtection="1">
      <alignment horizontal="center" vertical="top" wrapText="1"/>
    </xf>
    <xf numFmtId="0" fontId="306" fillId="4" borderId="0" xfId="0" applyFont="1" applyFill="1" applyBorder="1" applyAlignment="1" applyProtection="1">
      <alignment horizontal="center" vertical="top" wrapText="1"/>
    </xf>
    <xf numFmtId="0" fontId="306" fillId="4" borderId="11" xfId="0" applyFont="1" applyFill="1" applyBorder="1" applyAlignment="1" applyProtection="1">
      <alignment horizontal="center" vertical="top" wrapText="1"/>
    </xf>
    <xf numFmtId="0" fontId="306" fillId="4" borderId="85" xfId="0" applyFont="1" applyFill="1" applyBorder="1" applyAlignment="1" applyProtection="1">
      <alignment horizontal="center" vertical="top" wrapText="1"/>
    </xf>
    <xf numFmtId="0" fontId="306" fillId="4" borderId="44" xfId="0" applyFont="1" applyFill="1" applyBorder="1" applyAlignment="1" applyProtection="1">
      <alignment horizontal="center" vertical="top" wrapText="1"/>
    </xf>
    <xf numFmtId="0" fontId="306" fillId="4" borderId="15" xfId="0" applyFont="1" applyFill="1" applyBorder="1" applyAlignment="1" applyProtection="1">
      <alignment horizontal="center" vertical="top" wrapText="1"/>
    </xf>
    <xf numFmtId="0" fontId="306" fillId="4" borderId="237" xfId="0" applyFont="1" applyFill="1" applyBorder="1" applyAlignment="1" applyProtection="1">
      <alignment horizontal="center" vertical="top"/>
    </xf>
    <xf numFmtId="0" fontId="306" fillId="4" borderId="234" xfId="0" applyFont="1" applyFill="1" applyBorder="1" applyAlignment="1" applyProtection="1">
      <alignment horizontal="center" vertical="top"/>
    </xf>
    <xf numFmtId="0" fontId="306" fillId="4" borderId="237" xfId="0" applyFont="1" applyFill="1" applyBorder="1" applyAlignment="1" applyProtection="1">
      <alignment horizontal="center" vertical="top" wrapText="1"/>
    </xf>
    <xf numFmtId="0" fontId="306" fillId="4" borderId="234" xfId="0" applyFont="1" applyFill="1" applyBorder="1" applyAlignment="1" applyProtection="1">
      <alignment horizontal="center" vertical="top" wrapText="1"/>
    </xf>
    <xf numFmtId="0" fontId="306" fillId="4" borderId="236" xfId="0" applyFont="1" applyFill="1" applyBorder="1" applyAlignment="1" applyProtection="1">
      <alignment horizontal="center" vertical="top" wrapText="1"/>
    </xf>
    <xf numFmtId="0" fontId="306" fillId="4" borderId="85" xfId="0" applyFont="1" applyFill="1" applyBorder="1" applyAlignment="1" applyProtection="1">
      <alignment horizontal="center" vertical="top"/>
    </xf>
    <xf numFmtId="0" fontId="306" fillId="4" borderId="44" xfId="0" applyFont="1" applyFill="1" applyBorder="1" applyAlignment="1" applyProtection="1">
      <alignment horizontal="center" vertical="top"/>
    </xf>
    <xf numFmtId="0" fontId="306" fillId="4" borderId="15" xfId="0" applyFont="1" applyFill="1" applyBorder="1" applyAlignment="1" applyProtection="1">
      <alignment horizontal="center" vertical="top"/>
    </xf>
    <xf numFmtId="0" fontId="308" fillId="4" borderId="85" xfId="0" applyFont="1" applyFill="1" applyBorder="1" applyAlignment="1" applyProtection="1">
      <alignment horizontal="center" vertical="top"/>
    </xf>
    <xf numFmtId="0" fontId="308" fillId="4" borderId="44" xfId="0" applyFont="1" applyFill="1" applyBorder="1" applyAlignment="1" applyProtection="1">
      <alignment horizontal="center" vertical="top"/>
    </xf>
    <xf numFmtId="0" fontId="308" fillId="4" borderId="15" xfId="0" applyFont="1" applyFill="1" applyBorder="1" applyAlignment="1" applyProtection="1">
      <alignment horizontal="center" vertical="top"/>
    </xf>
    <xf numFmtId="0" fontId="306" fillId="4" borderId="237" xfId="0" applyFont="1" applyFill="1" applyBorder="1" applyAlignment="1" applyProtection="1">
      <alignment horizontal="center" vertical="center" wrapText="1"/>
    </xf>
    <xf numFmtId="0" fontId="306" fillId="4" borderId="234" xfId="0" applyFont="1" applyFill="1" applyBorder="1" applyAlignment="1" applyProtection="1">
      <alignment horizontal="center" vertical="center" wrapText="1"/>
    </xf>
    <xf numFmtId="0" fontId="306" fillId="4" borderId="236" xfId="0" applyFont="1" applyFill="1" applyBorder="1" applyAlignment="1" applyProtection="1">
      <alignment horizontal="center" vertical="center" wrapText="1"/>
    </xf>
    <xf numFmtId="0" fontId="306" fillId="4" borderId="4" xfId="0" applyFont="1" applyFill="1" applyBorder="1" applyAlignment="1" applyProtection="1">
      <alignment horizontal="center" vertical="top"/>
    </xf>
    <xf numFmtId="0" fontId="306" fillId="4" borderId="0" xfId="0" applyFont="1" applyFill="1" applyBorder="1" applyAlignment="1" applyProtection="1">
      <alignment horizontal="center" vertical="top"/>
    </xf>
    <xf numFmtId="0" fontId="306" fillId="4" borderId="11" xfId="0" applyFont="1" applyFill="1" applyBorder="1" applyAlignment="1" applyProtection="1">
      <alignment horizontal="center" vertical="top"/>
    </xf>
    <xf numFmtId="0" fontId="306" fillId="4" borderId="236" xfId="0" applyFont="1" applyFill="1" applyBorder="1" applyAlignment="1" applyProtection="1">
      <alignment horizontal="center" vertical="top"/>
    </xf>
    <xf numFmtId="0" fontId="304" fillId="4" borderId="323" xfId="5" applyFont="1" applyFill="1" applyBorder="1" applyAlignment="1" applyProtection="1">
      <alignment horizontal="center" vertical="center"/>
    </xf>
    <xf numFmtId="0" fontId="259" fillId="43" borderId="122" xfId="5" applyFont="1" applyFill="1" applyBorder="1" applyAlignment="1" applyProtection="1">
      <alignment horizontal="centerContinuous" vertical="center" wrapText="1"/>
    </xf>
    <xf numFmtId="0" fontId="259" fillId="43" borderId="24" xfId="5" applyFont="1" applyFill="1" applyBorder="1" applyAlignment="1" applyProtection="1">
      <alignment horizontal="centerContinuous" vertical="center" wrapText="1"/>
    </xf>
    <xf numFmtId="3" fontId="259" fillId="43" borderId="16" xfId="5" applyNumberFormat="1" applyFont="1" applyFill="1" applyBorder="1" applyAlignment="1" applyProtection="1">
      <alignment horizontal="center" vertical="center"/>
    </xf>
    <xf numFmtId="3" fontId="259" fillId="43" borderId="87" xfId="5" applyNumberFormat="1" applyFont="1" applyFill="1" applyBorder="1" applyAlignment="1" applyProtection="1">
      <alignment horizontal="center" vertical="center"/>
    </xf>
    <xf numFmtId="3" fontId="259" fillId="43" borderId="123" xfId="5" applyNumberFormat="1" applyFont="1" applyFill="1" applyBorder="1" applyAlignment="1" applyProtection="1">
      <alignment horizontal="center" vertical="center"/>
    </xf>
    <xf numFmtId="3" fontId="259" fillId="43" borderId="86" xfId="5" applyNumberFormat="1" applyFont="1" applyFill="1" applyBorder="1" applyAlignment="1" applyProtection="1">
      <alignment horizontal="center" vertical="center"/>
    </xf>
    <xf numFmtId="0" fontId="259" fillId="45" borderId="116" xfId="5" applyFont="1" applyFill="1" applyBorder="1" applyAlignment="1" applyProtection="1">
      <alignment horizontal="centerContinuous" vertical="center"/>
    </xf>
    <xf numFmtId="0" fontId="259" fillId="45" borderId="63" xfId="5" applyFont="1" applyFill="1" applyBorder="1" applyAlignment="1" applyProtection="1">
      <alignment horizontal="centerContinuous" vertical="center"/>
    </xf>
    <xf numFmtId="3" fontId="259" fillId="45" borderId="1" xfId="5" applyNumberFormat="1" applyFont="1" applyFill="1" applyBorder="1" applyAlignment="1" applyProtection="1">
      <alignment horizontal="center" vertical="center"/>
    </xf>
    <xf numFmtId="3" fontId="259" fillId="45" borderId="78" xfId="5" applyNumberFormat="1" applyFont="1" applyFill="1" applyBorder="1" applyAlignment="1" applyProtection="1">
      <alignment horizontal="center" vertical="center"/>
    </xf>
    <xf numFmtId="3" fontId="259" fillId="45" borderId="117" xfId="5" applyNumberFormat="1" applyFont="1" applyFill="1" applyBorder="1" applyAlignment="1" applyProtection="1">
      <alignment horizontal="center" vertical="center"/>
    </xf>
    <xf numFmtId="0" fontId="259" fillId="45" borderId="35" xfId="5" applyFont="1" applyFill="1" applyBorder="1" applyAlignment="1" applyProtection="1">
      <alignment horizontal="centerContinuous" vertical="center"/>
    </xf>
    <xf numFmtId="0" fontId="259" fillId="45" borderId="24" xfId="5" applyFont="1" applyFill="1" applyBorder="1" applyAlignment="1" applyProtection="1">
      <alignment horizontal="centerContinuous" vertical="center"/>
    </xf>
    <xf numFmtId="3" fontId="259" fillId="45" borderId="8" xfId="5" applyNumberFormat="1" applyFont="1" applyFill="1" applyBorder="1" applyAlignment="1" applyProtection="1">
      <alignment horizontal="center" vertical="center"/>
    </xf>
    <xf numFmtId="3" fontId="259" fillId="45" borderId="118" xfId="5" applyNumberFormat="1" applyFont="1" applyFill="1" applyBorder="1" applyAlignment="1" applyProtection="1">
      <alignment horizontal="center" vertical="center"/>
    </xf>
    <xf numFmtId="3" fontId="259" fillId="45" borderId="119" xfId="5" applyNumberFormat="1" applyFont="1" applyFill="1" applyBorder="1" applyAlignment="1" applyProtection="1">
      <alignment horizontal="center" vertical="center"/>
    </xf>
    <xf numFmtId="0" fontId="19" fillId="44" borderId="120" xfId="5" applyFont="1" applyFill="1" applyBorder="1" applyAlignment="1" applyProtection="1">
      <alignment horizontal="centerContinuous" vertical="center"/>
    </xf>
    <xf numFmtId="0" fontId="19" fillId="44" borderId="72" xfId="5" applyFont="1" applyFill="1" applyBorder="1" applyAlignment="1" applyProtection="1">
      <alignment horizontal="centerContinuous" vertical="center"/>
    </xf>
    <xf numFmtId="3" fontId="19" fillId="44" borderId="6" xfId="5" applyNumberFormat="1" applyFont="1" applyFill="1" applyBorder="1" applyAlignment="1" applyProtection="1">
      <alignment horizontal="center" vertical="center"/>
    </xf>
    <xf numFmtId="3" fontId="19" fillId="44" borderId="113" xfId="5" applyNumberFormat="1" applyFont="1" applyFill="1" applyBorder="1" applyAlignment="1" applyProtection="1">
      <alignment horizontal="center" vertical="center"/>
    </xf>
    <xf numFmtId="3" fontId="19" fillId="44" borderId="121" xfId="5" applyNumberFormat="1" applyFont="1" applyFill="1" applyBorder="1" applyAlignment="1" applyProtection="1">
      <alignment horizontal="center" vertical="center"/>
    </xf>
    <xf numFmtId="0" fontId="146" fillId="4" borderId="0" xfId="0" applyFont="1" applyFill="1" applyBorder="1" applyAlignment="1" applyProtection="1">
      <alignment vertical="center"/>
    </xf>
    <xf numFmtId="0" fontId="304" fillId="4" borderId="324" xfId="0" applyFont="1" applyFill="1" applyBorder="1" applyAlignment="1" applyProtection="1">
      <alignment horizontal="center" vertical="center"/>
    </xf>
    <xf numFmtId="0" fontId="304" fillId="4" borderId="325" xfId="0" applyFont="1" applyFill="1" applyBorder="1" applyAlignment="1" applyProtection="1">
      <alignment horizontal="center" vertical="center"/>
    </xf>
    <xf numFmtId="0" fontId="304" fillId="4" borderId="326" xfId="0" applyFont="1" applyFill="1" applyBorder="1" applyAlignment="1" applyProtection="1">
      <alignment horizontal="center" vertical="center"/>
    </xf>
    <xf numFmtId="0" fontId="311" fillId="4" borderId="310" xfId="0" applyFont="1" applyFill="1" applyBorder="1" applyAlignment="1" applyProtection="1">
      <alignment horizontal="center" vertical="center"/>
    </xf>
    <xf numFmtId="0" fontId="311" fillId="4" borderId="309" xfId="0" applyFont="1" applyFill="1" applyBorder="1" applyAlignment="1" applyProtection="1">
      <alignment horizontal="center" vertical="center"/>
    </xf>
    <xf numFmtId="0" fontId="311" fillId="4" borderId="311" xfId="0" applyFont="1" applyFill="1" applyBorder="1" applyAlignment="1" applyProtection="1">
      <alignment horizontal="center" vertical="center"/>
    </xf>
    <xf numFmtId="0" fontId="294" fillId="4" borderId="312" xfId="0" applyFont="1" applyFill="1" applyBorder="1" applyAlignment="1" applyProtection="1">
      <alignment vertical="center"/>
    </xf>
    <xf numFmtId="0" fontId="294" fillId="4" borderId="313" xfId="0" applyFont="1" applyFill="1" applyBorder="1" applyAlignment="1" applyProtection="1">
      <alignment vertical="center"/>
    </xf>
    <xf numFmtId="0" fontId="294" fillId="4" borderId="313" xfId="0" applyFont="1" applyFill="1" applyBorder="1" applyAlignment="1" applyProtection="1">
      <alignment horizontal="left" vertical="center"/>
    </xf>
    <xf numFmtId="165" fontId="295" fillId="4" borderId="313" xfId="0" applyNumberFormat="1" applyFont="1" applyFill="1" applyBorder="1" applyAlignment="1" applyProtection="1">
      <alignment horizontal="left" vertical="center"/>
    </xf>
    <xf numFmtId="0" fontId="295" fillId="4" borderId="313" xfId="0" applyFont="1" applyFill="1" applyBorder="1" applyAlignment="1" applyProtection="1">
      <alignment horizontal="left" vertical="center"/>
    </xf>
    <xf numFmtId="0" fontId="295" fillId="4" borderId="314" xfId="0" applyFont="1" applyFill="1" applyBorder="1" applyAlignment="1" applyProtection="1">
      <alignment vertical="center"/>
    </xf>
    <xf numFmtId="0" fontId="312" fillId="4" borderId="293" xfId="0" applyFont="1" applyFill="1" applyBorder="1" applyAlignment="1" applyProtection="1">
      <alignment horizontal="center" vertical="center" wrapText="1"/>
    </xf>
    <xf numFmtId="0" fontId="312" fillId="4" borderId="294" xfId="0" applyFont="1" applyFill="1" applyBorder="1" applyAlignment="1" applyProtection="1">
      <alignment horizontal="center" vertical="center" wrapText="1"/>
    </xf>
    <xf numFmtId="0" fontId="312" fillId="4" borderId="295" xfId="0" applyFont="1" applyFill="1" applyBorder="1" applyAlignment="1" applyProtection="1">
      <alignment horizontal="center" vertical="center" wrapText="1"/>
    </xf>
    <xf numFmtId="0" fontId="313" fillId="4" borderId="195" xfId="0" applyFont="1" applyFill="1" applyBorder="1" applyAlignment="1" applyProtection="1">
      <alignment vertical="center" wrapText="1"/>
    </xf>
    <xf numFmtId="0" fontId="313" fillId="4" borderId="196" xfId="0" applyFont="1" applyFill="1" applyBorder="1" applyAlignment="1" applyProtection="1">
      <alignment horizontal="right" vertical="center" wrapText="1"/>
    </xf>
    <xf numFmtId="165" fontId="287" fillId="4" borderId="196" xfId="0" applyNumberFormat="1" applyFont="1" applyFill="1" applyBorder="1" applyAlignment="1" applyProtection="1">
      <alignment horizontal="left" wrapText="1"/>
    </xf>
    <xf numFmtId="0" fontId="287" fillId="4" borderId="196" xfId="0" applyFont="1" applyFill="1" applyBorder="1" applyAlignment="1" applyProtection="1">
      <alignment horizontal="left" wrapText="1"/>
    </xf>
    <xf numFmtId="165" fontId="287" fillId="4" borderId="196" xfId="0" applyNumberFormat="1" applyFont="1" applyFill="1" applyBorder="1" applyAlignment="1" applyProtection="1">
      <alignment vertical="center" wrapText="1"/>
    </xf>
    <xf numFmtId="0" fontId="287" fillId="4" borderId="197" xfId="0" applyFont="1" applyFill="1" applyBorder="1" applyAlignment="1" applyProtection="1">
      <alignment vertical="center" wrapText="1"/>
    </xf>
    <xf numFmtId="0" fontId="156" fillId="4" borderId="49" xfId="0" applyFont="1" applyFill="1" applyBorder="1" applyAlignment="1" applyProtection="1">
      <alignment horizontal="center" vertical="center" wrapText="1"/>
    </xf>
    <xf numFmtId="0" fontId="19" fillId="4" borderId="49" xfId="0" applyFont="1" applyFill="1" applyBorder="1" applyAlignment="1" applyProtection="1">
      <alignment horizontal="center" vertical="center" wrapText="1"/>
    </xf>
    <xf numFmtId="0" fontId="314" fillId="4" borderId="330" xfId="0" applyFont="1" applyFill="1" applyBorder="1" applyAlignment="1" applyProtection="1">
      <alignment horizontal="center" vertical="center" wrapText="1"/>
    </xf>
    <xf numFmtId="0" fontId="314" fillId="4" borderId="331" xfId="0" applyFont="1" applyFill="1" applyBorder="1" applyAlignment="1" applyProtection="1">
      <alignment horizontal="center" vertical="center" wrapText="1"/>
    </xf>
    <xf numFmtId="0" fontId="314" fillId="4" borderId="332" xfId="0" applyFont="1" applyFill="1" applyBorder="1" applyAlignment="1" applyProtection="1">
      <alignment horizontal="center" vertical="center" wrapText="1"/>
    </xf>
    <xf numFmtId="0" fontId="315" fillId="4" borderId="333" xfId="0" applyFont="1" applyFill="1" applyBorder="1" applyAlignment="1" applyProtection="1">
      <alignment vertical="center" wrapText="1"/>
    </xf>
    <xf numFmtId="0" fontId="315" fillId="4" borderId="334" xfId="0" applyFont="1" applyFill="1" applyBorder="1" applyAlignment="1" applyProtection="1">
      <alignment vertical="center" wrapText="1"/>
    </xf>
    <xf numFmtId="0" fontId="315" fillId="4" borderId="334" xfId="0" applyFont="1" applyFill="1" applyBorder="1" applyAlignment="1" applyProtection="1">
      <alignment horizontal="right" vertical="center" wrapText="1"/>
    </xf>
    <xf numFmtId="165" fontId="316" fillId="4" borderId="334" xfId="0" applyNumberFormat="1" applyFont="1" applyFill="1" applyBorder="1" applyAlignment="1" applyProtection="1">
      <alignment horizontal="left" wrapText="1"/>
    </xf>
    <xf numFmtId="0" fontId="316" fillId="4" borderId="334" xfId="0" applyFont="1" applyFill="1" applyBorder="1" applyAlignment="1" applyProtection="1">
      <alignment horizontal="left" wrapText="1"/>
    </xf>
    <xf numFmtId="0" fontId="316" fillId="4" borderId="335" xfId="0" applyFont="1" applyFill="1" applyBorder="1" applyAlignment="1" applyProtection="1">
      <alignment vertical="center" wrapText="1"/>
    </xf>
    <xf numFmtId="0" fontId="299" fillId="4" borderId="310" xfId="0" applyFont="1" applyFill="1" applyBorder="1" applyAlignment="1" applyProtection="1">
      <alignment horizontal="center" vertical="center"/>
    </xf>
    <xf numFmtId="0" fontId="299" fillId="4" borderId="309" xfId="0" applyFont="1" applyFill="1" applyBorder="1" applyAlignment="1" applyProtection="1">
      <alignment horizontal="center" vertical="center"/>
    </xf>
    <xf numFmtId="0" fontId="299" fillId="4" borderId="311" xfId="0" applyFont="1" applyFill="1" applyBorder="1" applyAlignment="1" applyProtection="1">
      <alignment horizontal="center" vertical="center"/>
    </xf>
    <xf numFmtId="0" fontId="299" fillId="4" borderId="312" xfId="0" applyFont="1" applyFill="1" applyBorder="1" applyAlignment="1" applyProtection="1">
      <alignment horizontal="center" vertical="center"/>
    </xf>
    <xf numFmtId="0" fontId="299" fillId="4" borderId="313" xfId="0" applyFont="1" applyFill="1" applyBorder="1" applyAlignment="1" applyProtection="1">
      <alignment horizontal="center" vertical="center"/>
    </xf>
    <xf numFmtId="0" fontId="299" fillId="4" borderId="314" xfId="0" applyFont="1" applyFill="1" applyBorder="1" applyAlignment="1" applyProtection="1">
      <alignment horizontal="center" vertical="center"/>
    </xf>
    <xf numFmtId="0" fontId="317" fillId="0" borderId="324" xfId="10" applyFont="1" applyFill="1" applyBorder="1" applyAlignment="1" applyProtection="1">
      <alignment horizontal="center"/>
    </xf>
    <xf numFmtId="0" fontId="317" fillId="0" borderId="325" xfId="10" applyFont="1" applyFill="1" applyBorder="1" applyAlignment="1" applyProtection="1">
      <alignment horizontal="center"/>
    </xf>
    <xf numFmtId="0" fontId="317" fillId="0" borderId="326" xfId="10" applyFont="1" applyFill="1" applyBorder="1" applyAlignment="1" applyProtection="1">
      <alignment horizontal="center"/>
    </xf>
    <xf numFmtId="0" fontId="1" fillId="28" borderId="12" xfId="10" applyFont="1" applyFill="1" applyBorder="1" applyAlignment="1" applyProtection="1">
      <alignment vertical="center"/>
    </xf>
    <xf numFmtId="0" fontId="1" fillId="28" borderId="89" xfId="10" applyFont="1" applyFill="1" applyBorder="1" applyAlignment="1" applyProtection="1">
      <alignment vertical="center"/>
    </xf>
    <xf numFmtId="0" fontId="1" fillId="28" borderId="60" xfId="10" applyFont="1" applyFill="1" applyBorder="1" applyAlignment="1" applyProtection="1">
      <alignment vertical="center"/>
    </xf>
    <xf numFmtId="0" fontId="109" fillId="28" borderId="307" xfId="16" applyFont="1" applyFill="1" applyBorder="1" applyAlignment="1" applyProtection="1">
      <alignment vertical="center"/>
    </xf>
    <xf numFmtId="0" fontId="318" fillId="0" borderId="324" xfId="16" applyFont="1" applyFill="1" applyBorder="1" applyAlignment="1" applyProtection="1">
      <alignment horizontal="center" vertical="center"/>
    </xf>
    <xf numFmtId="0" fontId="318" fillId="0" borderId="325" xfId="16" applyFont="1" applyFill="1" applyBorder="1" applyAlignment="1" applyProtection="1">
      <alignment horizontal="center" vertical="center"/>
    </xf>
    <xf numFmtId="0" fontId="318" fillId="0" borderId="326" xfId="16" applyFont="1" applyFill="1" applyBorder="1" applyAlignment="1" applyProtection="1">
      <alignment horizontal="center" vertical="center"/>
    </xf>
    <xf numFmtId="0" fontId="304" fillId="4" borderId="324" xfId="0" applyFont="1" applyFill="1" applyBorder="1" applyAlignment="1">
      <alignment horizontal="center" vertical="center"/>
    </xf>
    <xf numFmtId="0" fontId="304" fillId="4" borderId="325" xfId="0" applyFont="1" applyFill="1" applyBorder="1" applyAlignment="1">
      <alignment horizontal="center" vertical="center"/>
    </xf>
    <xf numFmtId="0" fontId="304" fillId="4" borderId="326" xfId="0" applyFont="1" applyFill="1" applyBorder="1" applyAlignment="1">
      <alignment horizontal="center" vertical="center"/>
    </xf>
  </cellXfs>
  <cellStyles count="47">
    <cellStyle name="Euro" xfId="11"/>
    <cellStyle name="Euro 2" xfId="12"/>
    <cellStyle name="Euro 3" xfId="30"/>
    <cellStyle name="Lien hypertexte" xfId="1" builtinId="8"/>
    <cellStyle name="Lien hypertexte 2" xfId="13"/>
    <cellStyle name="Lien hypertexte 3" xfId="14"/>
    <cellStyle name="Milliers 2" xfId="15"/>
    <cellStyle name="Milliers 2 2" xfId="34"/>
    <cellStyle name="Milliers 3" xfId="20"/>
    <cellStyle name="Milliers 3 2" xfId="38"/>
    <cellStyle name="Milliers 4" xfId="27"/>
    <cellStyle name="Milliers 5" xfId="19"/>
    <cellStyle name="Milliers 5 2" xfId="42"/>
    <cellStyle name="Milliers 6" xfId="31"/>
    <cellStyle name="Milliers 7" xfId="44"/>
    <cellStyle name="Monétaire" xfId="2" builtinId="4"/>
    <cellStyle name="Monétaire 2" xfId="3"/>
    <cellStyle name="Monétaire 2 2" xfId="22"/>
    <cellStyle name="Monétaire 2 3" xfId="35"/>
    <cellStyle name="Monétaire 3" xfId="41"/>
    <cellStyle name="Monétaire 4" xfId="36"/>
    <cellStyle name="Monétaire 5" xfId="45"/>
    <cellStyle name="Normal" xfId="0" builtinId="0"/>
    <cellStyle name="Normal 2" xfId="4"/>
    <cellStyle name="Normal 2 2" xfId="23"/>
    <cellStyle name="Normal 3" xfId="24"/>
    <cellStyle name="Normal 3 2" xfId="25"/>
    <cellStyle name="Normal 4" xfId="17"/>
    <cellStyle name="Normal 4 2" xfId="40"/>
    <cellStyle name="Normal 4 3" xfId="33"/>
    <cellStyle name="Normal 5" xfId="21"/>
    <cellStyle name="Normal 5 2" xfId="37"/>
    <cellStyle name="Normal 6" xfId="18"/>
    <cellStyle name="Normal 7" xfId="28"/>
    <cellStyle name="Normal 8" xfId="29"/>
    <cellStyle name="Normal 9" xfId="46"/>
    <cellStyle name="Normal_Arrete22_10_2003_Uniopss" xfId="5"/>
    <cellStyle name="Normal_PAGE22" xfId="16"/>
    <cellStyle name="Normal_PAGE8" xfId="10"/>
    <cellStyle name="Pourcentage" xfId="6" builtinId="5"/>
    <cellStyle name="Pourcentage 2" xfId="7"/>
    <cellStyle name="Pourcentage 3" xfId="39"/>
    <cellStyle name="Pourcentage 4" xfId="26"/>
    <cellStyle name="Pourcentage 5" xfId="43"/>
    <cellStyle name="Pourcentage 6" xfId="32"/>
    <cellStyle name="Titre 1" xfId="8"/>
    <cellStyle name="Titre 2" xfId="9"/>
  </cellStyles>
  <dxfs count="89">
    <dxf>
      <font>
        <color theme="4" tint="0.39994506668294322"/>
      </font>
    </dxf>
    <dxf>
      <font>
        <color theme="5" tint="0.39994506668294322"/>
      </font>
    </dxf>
    <dxf>
      <font>
        <color theme="6" tint="0.59996337778862885"/>
      </font>
    </dxf>
    <dxf>
      <font>
        <color theme="0" tint="-0.34998626667073579"/>
      </font>
    </dxf>
    <dxf>
      <font>
        <color theme="0" tint="-0.499984740745262"/>
      </font>
    </dxf>
    <dxf>
      <font>
        <color theme="6" tint="0.39994506668294322"/>
      </font>
    </dxf>
    <dxf>
      <font>
        <color theme="5" tint="0.39994506668294322"/>
      </font>
    </dxf>
    <dxf>
      <font>
        <color theme="4" tint="0.39994506668294322"/>
      </font>
    </dxf>
    <dxf>
      <font>
        <b/>
        <i val="0"/>
        <color rgb="FF00B050"/>
      </font>
    </dxf>
    <dxf>
      <font>
        <b/>
        <i val="0"/>
        <color rgb="FFFF0000"/>
      </font>
    </dxf>
    <dxf>
      <font>
        <b/>
        <i val="0"/>
        <strike val="0"/>
        <color rgb="FFFF0000"/>
      </font>
    </dxf>
    <dxf>
      <font>
        <b/>
        <i val="0"/>
        <color rgb="FFFF0000"/>
      </font>
    </dxf>
    <dxf>
      <font>
        <b/>
        <i val="0"/>
        <color rgb="FF00B050"/>
      </font>
    </dxf>
    <dxf>
      <font>
        <b/>
        <i val="0"/>
        <color rgb="FFFF0000"/>
      </font>
    </dxf>
    <dxf>
      <font>
        <b/>
        <i val="0"/>
        <strike val="0"/>
        <color rgb="FFFF0000"/>
      </font>
    </dxf>
    <dxf>
      <font>
        <b/>
        <i val="0"/>
        <color rgb="FF00B050"/>
      </font>
    </dxf>
    <dxf>
      <font>
        <b/>
        <i val="0"/>
        <color rgb="FFFF0000"/>
      </font>
    </dxf>
    <dxf>
      <font>
        <b/>
        <i val="0"/>
        <strike val="0"/>
        <color rgb="FFFF0000"/>
      </font>
    </dxf>
    <dxf>
      <font>
        <b/>
        <i val="0"/>
        <color rgb="FF00B050"/>
      </font>
    </dxf>
    <dxf>
      <font>
        <b/>
        <i val="0"/>
        <color rgb="FFFF0000"/>
      </font>
    </dxf>
    <dxf>
      <font>
        <b/>
        <i val="0"/>
        <color rgb="FFFF0000"/>
      </font>
    </dxf>
    <dxf>
      <font>
        <b/>
        <i val="0"/>
        <color rgb="FF00B050"/>
      </font>
    </dxf>
    <dxf>
      <font>
        <b/>
        <i val="0"/>
        <strike val="0"/>
        <color rgb="FF00B050"/>
      </font>
    </dxf>
    <dxf>
      <font>
        <b/>
        <i val="0"/>
        <strike val="0"/>
        <color rgb="FFFF0000"/>
      </font>
    </dxf>
    <dxf>
      <fill>
        <patternFill patternType="mediumGray"/>
      </fill>
    </dxf>
    <dxf>
      <font>
        <b/>
        <i val="0"/>
        <color rgb="FF008000"/>
      </font>
    </dxf>
    <dxf>
      <fill>
        <patternFill patternType="mediumGray"/>
      </fill>
    </dxf>
    <dxf>
      <font>
        <b/>
        <i val="0"/>
        <color rgb="FF00B050"/>
      </font>
    </dxf>
    <dxf>
      <font>
        <b/>
        <i val="0"/>
        <color rgb="FFFF0000"/>
      </font>
    </dxf>
    <dxf>
      <font>
        <color theme="8" tint="0.39994506668294322"/>
      </font>
    </dxf>
    <dxf>
      <font>
        <color theme="0" tint="-0.14996795556505021"/>
      </font>
    </dxf>
    <dxf>
      <font>
        <color rgb="FFB0CA7C"/>
      </font>
    </dxf>
    <dxf>
      <font>
        <color theme="4" tint="0.59996337778862885"/>
      </font>
    </dxf>
    <dxf>
      <fill>
        <patternFill patternType="solid"/>
      </fill>
    </dxf>
    <dxf>
      <font>
        <color theme="0" tint="-0.14996795556505021"/>
      </font>
    </dxf>
    <dxf>
      <font>
        <b/>
        <i val="0"/>
        <color rgb="FF008000"/>
      </font>
    </dxf>
    <dxf>
      <font>
        <b/>
        <i val="0"/>
        <color rgb="FFFF0000"/>
      </font>
    </dxf>
    <dxf>
      <font>
        <b/>
        <i val="0"/>
        <strike val="0"/>
        <color rgb="FF008000"/>
      </font>
    </dxf>
    <dxf>
      <font>
        <b/>
        <i val="0"/>
        <color rgb="FF008000"/>
      </font>
    </dxf>
    <dxf>
      <font>
        <b/>
        <i val="0"/>
        <color rgb="FFFF0000"/>
      </font>
    </dxf>
    <dxf>
      <font>
        <b/>
        <i val="0"/>
        <strike val="0"/>
        <color rgb="FF008000"/>
      </font>
    </dxf>
    <dxf>
      <font>
        <b/>
        <i val="0"/>
        <color rgb="FFFF0000"/>
      </font>
    </dxf>
    <dxf>
      <font>
        <b/>
        <i val="0"/>
        <color rgb="FFFF0000"/>
      </font>
    </dxf>
    <dxf>
      <font>
        <b/>
        <i val="0"/>
        <color rgb="FF008000"/>
      </font>
    </dxf>
    <dxf>
      <font>
        <b/>
        <i val="0"/>
        <color rgb="FFFF0000"/>
      </font>
    </dxf>
    <dxf>
      <font>
        <b/>
        <i val="0"/>
        <color rgb="FF008000"/>
      </font>
    </dxf>
    <dxf>
      <font>
        <b/>
        <i val="0"/>
        <color rgb="FFFF0000"/>
      </font>
    </dxf>
    <dxf>
      <font>
        <b/>
        <i val="0"/>
        <color rgb="FF008000"/>
      </font>
    </dxf>
    <dxf>
      <font>
        <b/>
        <i val="0"/>
        <color rgb="FF008000"/>
      </font>
    </dxf>
    <dxf>
      <font>
        <b/>
        <i val="0"/>
        <color rgb="FFFF0000"/>
      </font>
    </dxf>
    <dxf>
      <font>
        <b/>
        <i val="0"/>
        <color rgb="FFFF0000"/>
      </font>
    </dxf>
    <dxf>
      <font>
        <b/>
        <i val="0"/>
        <color rgb="FF008000"/>
      </font>
    </dxf>
    <dxf>
      <font>
        <color theme="0" tint="-0.14996795556505021"/>
      </font>
    </dxf>
    <dxf>
      <font>
        <b/>
        <i val="0"/>
        <color rgb="FF008000"/>
      </font>
    </dxf>
    <dxf>
      <font>
        <b/>
        <i val="0"/>
        <color rgb="FFFF0000"/>
      </font>
    </dxf>
    <dxf>
      <font>
        <b/>
        <i val="0"/>
        <color rgb="FF008000"/>
      </font>
    </dxf>
    <dxf>
      <font>
        <b/>
        <i val="0"/>
        <color rgb="FFFF0000"/>
      </font>
    </dxf>
    <dxf>
      <font>
        <b/>
        <i val="0"/>
        <strike val="0"/>
        <color theme="9" tint="-0.24994659260841701"/>
      </font>
    </dxf>
    <dxf>
      <font>
        <b/>
        <i val="0"/>
        <color rgb="FF008000"/>
      </font>
    </dxf>
    <dxf>
      <font>
        <b/>
        <i val="0"/>
        <color rgb="FFFF0000"/>
      </font>
    </dxf>
    <dxf>
      <font>
        <b/>
        <i val="0"/>
        <color rgb="FF008000"/>
      </font>
    </dxf>
    <dxf>
      <font>
        <b/>
        <i val="0"/>
        <color rgb="FFFF0000"/>
      </font>
    </dxf>
    <dxf>
      <font>
        <b/>
        <i val="0"/>
        <color rgb="FF008000"/>
      </font>
    </dxf>
    <dxf>
      <font>
        <b/>
        <i val="0"/>
        <color rgb="FFFF0000"/>
      </font>
    </dxf>
    <dxf>
      <fill>
        <patternFill patternType="mediumGray"/>
      </fill>
    </dxf>
    <dxf>
      <font>
        <b/>
        <i val="0"/>
        <color rgb="FFFF0000"/>
      </font>
    </dxf>
    <dxf>
      <font>
        <b/>
        <i val="0"/>
        <color rgb="FF008000"/>
      </font>
    </dxf>
    <dxf>
      <font>
        <b/>
        <i val="0"/>
        <color rgb="FFFF0000"/>
      </font>
    </dxf>
    <dxf>
      <font>
        <b/>
        <i val="0"/>
        <color rgb="FF008000"/>
      </font>
    </dxf>
    <dxf>
      <font>
        <b/>
        <i val="0"/>
        <color rgb="FFFF0000"/>
      </font>
    </dxf>
    <dxf>
      <font>
        <b/>
        <i val="0"/>
        <color rgb="FF008000"/>
      </font>
    </dxf>
    <dxf>
      <font>
        <b/>
        <i val="0"/>
        <color rgb="FF008000"/>
      </font>
    </dxf>
    <dxf>
      <font>
        <b/>
        <i val="0"/>
        <color rgb="FFFF0000"/>
      </font>
    </dxf>
    <dxf>
      <font>
        <b/>
        <i val="0"/>
        <color rgb="FF008000"/>
      </font>
    </dxf>
    <dxf>
      <font>
        <b/>
        <i val="0"/>
        <color rgb="FFFF0000"/>
      </font>
    </dxf>
    <dxf>
      <font>
        <color rgb="FF008000"/>
      </font>
    </dxf>
    <dxf>
      <font>
        <color rgb="FFFF0000"/>
      </font>
    </dxf>
    <dxf>
      <font>
        <b/>
        <i val="0"/>
        <color rgb="FFFF0000"/>
      </font>
    </dxf>
    <dxf>
      <font>
        <b/>
        <i val="0"/>
        <color rgb="FF008000"/>
      </font>
    </dxf>
    <dxf>
      <font>
        <color rgb="FF00B050"/>
      </font>
    </dxf>
    <dxf>
      <font>
        <color rgb="FFFF0000"/>
      </font>
    </dxf>
    <dxf>
      <font>
        <b/>
        <i val="0"/>
        <color rgb="FF00B050"/>
      </font>
    </dxf>
    <dxf>
      <font>
        <b/>
        <i val="0"/>
        <color rgb="FFFF0000"/>
      </font>
    </dxf>
    <dxf>
      <font>
        <b/>
        <i val="0"/>
        <color auto="1"/>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5577"/>
      <color rgb="FF00B9A5"/>
      <color rgb="FF007E7E"/>
      <color rgb="FFB0C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50" b="1" i="0" u="none" strike="noStrike" baseline="0">
                <a:solidFill>
                  <a:srgbClr val="000000"/>
                </a:solidFill>
                <a:latin typeface="Calibri"/>
                <a:ea typeface="Calibri"/>
                <a:cs typeface="Calibri"/>
              </a:defRPr>
            </a:pPr>
            <a:r>
              <a:rPr lang="fr-FR"/>
              <a:t>Comparaison CAF/Remboursement des emprunts</a:t>
            </a:r>
          </a:p>
        </c:rich>
      </c:tx>
      <c:layout/>
      <c:overlay val="0"/>
    </c:title>
    <c:autoTitleDeleted val="0"/>
    <c:plotArea>
      <c:layout/>
      <c:barChart>
        <c:barDir val="bar"/>
        <c:grouping val="clustered"/>
        <c:varyColors val="0"/>
        <c:ser>
          <c:idx val="0"/>
          <c:order val="0"/>
          <c:tx>
            <c:v>CAF</c:v>
          </c:tx>
          <c:invertIfNegative val="0"/>
          <c:cat>
            <c:numRef>
              <c:f>'Analyse rétrospective (2)'!$E$5:$J$5</c:f>
              <c:numCache>
                <c:formatCode>0</c:formatCode>
                <c:ptCount val="6"/>
                <c:pt idx="0">
                  <c:v>2017</c:v>
                </c:pt>
                <c:pt idx="2">
                  <c:v>2018</c:v>
                </c:pt>
                <c:pt idx="4">
                  <c:v>2019</c:v>
                </c:pt>
              </c:numCache>
            </c:numRef>
          </c:cat>
          <c:val>
            <c:numRef>
              <c:f>'Analyse rétrospective (2)'!$E$66:$J$66</c:f>
              <c:numCache>
                <c:formatCode>#\ ##0\ "€"</c:formatCode>
                <c:ptCount val="6"/>
                <c:pt idx="0">
                  <c:v>0</c:v>
                </c:pt>
                <c:pt idx="2">
                  <c:v>0</c:v>
                </c:pt>
                <c:pt idx="4">
                  <c:v>0</c:v>
                </c:pt>
              </c:numCache>
            </c:numRef>
          </c:val>
          <c:extLst>
            <c:ext xmlns:c16="http://schemas.microsoft.com/office/drawing/2014/chart" uri="{C3380CC4-5D6E-409C-BE32-E72D297353CC}">
              <c16:uniqueId val="{00000000-6D42-4417-9225-48C4A9B79567}"/>
            </c:ext>
          </c:extLst>
        </c:ser>
        <c:ser>
          <c:idx val="1"/>
          <c:order val="1"/>
          <c:tx>
            <c:v>Remboursement des emprunts</c:v>
          </c:tx>
          <c:invertIfNegative val="0"/>
          <c:cat>
            <c:numRef>
              <c:f>'Analyse rétrospective (2)'!$E$5:$J$5</c:f>
              <c:numCache>
                <c:formatCode>0</c:formatCode>
                <c:ptCount val="6"/>
                <c:pt idx="0">
                  <c:v>2017</c:v>
                </c:pt>
                <c:pt idx="2">
                  <c:v>2018</c:v>
                </c:pt>
                <c:pt idx="4">
                  <c:v>2019</c:v>
                </c:pt>
              </c:numCache>
            </c:numRef>
          </c:cat>
          <c:val>
            <c:numRef>
              <c:f>CAF!$H$18:$J$18</c:f>
              <c:numCache>
                <c:formatCode>#\ ##0.00_ ;\-#\ ##0.00\ </c:formatCode>
                <c:ptCount val="3"/>
                <c:pt idx="0">
                  <c:v>0</c:v>
                </c:pt>
                <c:pt idx="1">
                  <c:v>0</c:v>
                </c:pt>
                <c:pt idx="2">
                  <c:v>0</c:v>
                </c:pt>
              </c:numCache>
            </c:numRef>
          </c:val>
          <c:extLst>
            <c:ext xmlns:c16="http://schemas.microsoft.com/office/drawing/2014/chart" uri="{C3380CC4-5D6E-409C-BE32-E72D297353CC}">
              <c16:uniqueId val="{00000001-6D42-4417-9225-48C4A9B79567}"/>
            </c:ext>
          </c:extLst>
        </c:ser>
        <c:dLbls>
          <c:showLegendKey val="0"/>
          <c:showVal val="0"/>
          <c:showCatName val="0"/>
          <c:showSerName val="0"/>
          <c:showPercent val="0"/>
          <c:showBubbleSize val="0"/>
        </c:dLbls>
        <c:gapWidth val="150"/>
        <c:axId val="94716288"/>
        <c:axId val="94717824"/>
      </c:barChart>
      <c:catAx>
        <c:axId val="94716288"/>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717824"/>
        <c:crosses val="autoZero"/>
        <c:auto val="1"/>
        <c:lblAlgn val="ctr"/>
        <c:lblOffset val="100"/>
        <c:noMultiLvlLbl val="0"/>
      </c:catAx>
      <c:valAx>
        <c:axId val="94717824"/>
        <c:scaling>
          <c:orientation val="minMax"/>
        </c:scaling>
        <c:delete val="0"/>
        <c:axPos val="b"/>
        <c:numFmt formatCode="#\ ##0\ &quot;€&quot;"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716288"/>
        <c:crosses val="autoZero"/>
        <c:crossBetween val="between"/>
      </c:valAx>
    </c:plotArea>
    <c:legend>
      <c:legendPos val="r"/>
      <c:legendEntry>
        <c:idx val="0"/>
        <c:txPr>
          <a:bodyPr/>
          <a:lstStyle/>
          <a:p>
            <a:pPr>
              <a:defRPr sz="640" b="0" i="0" u="none" strike="noStrike" baseline="0">
                <a:solidFill>
                  <a:srgbClr val="000000"/>
                </a:solidFill>
                <a:latin typeface="Calibri"/>
                <a:ea typeface="Calibri"/>
                <a:cs typeface="Calibri"/>
              </a:defRPr>
            </a:pPr>
            <a:endParaRPr lang="fr-FR"/>
          </a:p>
        </c:txPr>
      </c:legendEntry>
      <c:layout>
        <c:manualLayout>
          <c:xMode val="edge"/>
          <c:yMode val="edge"/>
          <c:x val="0.68523971416324669"/>
          <c:y val="0.37394592185411046"/>
          <c:w val="0.30243924207460637"/>
          <c:h val="0.21339275986728212"/>
        </c:manualLayout>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266" l="0.70000000000000062" r="0.70000000000000062" t="0.75000000000001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xPr>
        <a:bodyPr/>
        <a:lstStyle/>
        <a:p>
          <a:pPr>
            <a:defRPr sz="1000" b="1" i="0" u="none" strike="noStrike" baseline="0">
              <a:solidFill>
                <a:srgbClr val="000000"/>
              </a:solidFill>
              <a:latin typeface="Calibri"/>
              <a:ea typeface="Calibri"/>
              <a:cs typeface="Calibri"/>
            </a:defRPr>
          </a:pPr>
          <a:endParaRPr lang="fr-FR"/>
        </a:p>
      </c:txPr>
    </c:title>
    <c:autoTitleDeleted val="0"/>
    <c:plotArea>
      <c:layout/>
      <c:barChart>
        <c:barDir val="col"/>
        <c:grouping val="clustered"/>
        <c:varyColors val="0"/>
        <c:ser>
          <c:idx val="0"/>
          <c:order val="0"/>
          <c:tx>
            <c:strRef>
              <c:f>'Analyse rétrospective (2)'!$B$55</c:f>
              <c:strCache>
                <c:ptCount val="1"/>
                <c:pt idx="0">
                  <c:v>Taux de vétusté des équipements</c:v>
                </c:pt>
              </c:strCache>
            </c:strRef>
          </c:tx>
          <c:invertIfNegative val="0"/>
          <c:cat>
            <c:numRef>
              <c:f>('Analyse rétrospective (2)'!$E$53,'Analyse rétrospective (2)'!$G$53,'Analyse rétrospective (2)'!$I$53)</c:f>
              <c:numCache>
                <c:formatCode>0</c:formatCode>
                <c:ptCount val="3"/>
                <c:pt idx="0">
                  <c:v>2017</c:v>
                </c:pt>
                <c:pt idx="1">
                  <c:v>2018</c:v>
                </c:pt>
                <c:pt idx="2">
                  <c:v>2019</c:v>
                </c:pt>
              </c:numCache>
            </c:numRef>
          </c:cat>
          <c:val>
            <c:numRef>
              <c:f>('Analyse rétrospective (2)'!$E$55,'Analyse rétrospective (2)'!$G$55,'Analyse rétrospective (2)'!$I$55)</c:f>
              <c:numCache>
                <c:formatCode>0%</c:formatCode>
                <c:ptCount val="3"/>
                <c:pt idx="0">
                  <c:v>0</c:v>
                </c:pt>
                <c:pt idx="1">
                  <c:v>0</c:v>
                </c:pt>
                <c:pt idx="2">
                  <c:v>0</c:v>
                </c:pt>
              </c:numCache>
            </c:numRef>
          </c:val>
          <c:extLst>
            <c:ext xmlns:c16="http://schemas.microsoft.com/office/drawing/2014/chart" uri="{C3380CC4-5D6E-409C-BE32-E72D297353CC}">
              <c16:uniqueId val="{00000000-E2CF-4550-9308-3A7247E4D35B}"/>
            </c:ext>
          </c:extLst>
        </c:ser>
        <c:dLbls>
          <c:showLegendKey val="0"/>
          <c:showVal val="0"/>
          <c:showCatName val="0"/>
          <c:showSerName val="0"/>
          <c:showPercent val="0"/>
          <c:showBubbleSize val="0"/>
        </c:dLbls>
        <c:gapWidth val="150"/>
        <c:axId val="94687232"/>
        <c:axId val="94688768"/>
      </c:barChart>
      <c:catAx>
        <c:axId val="94687232"/>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688768"/>
        <c:crosses val="autoZero"/>
        <c:auto val="1"/>
        <c:lblAlgn val="ctr"/>
        <c:lblOffset val="100"/>
        <c:noMultiLvlLbl val="0"/>
      </c:catAx>
      <c:valAx>
        <c:axId val="94688768"/>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687232"/>
        <c:crosses val="autoZero"/>
        <c:crossBetween val="between"/>
      </c:valAx>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xPr>
        <a:bodyPr/>
        <a:lstStyle/>
        <a:p>
          <a:pPr>
            <a:defRPr sz="1000" b="1" i="0" u="none" strike="noStrike" baseline="0">
              <a:solidFill>
                <a:srgbClr val="000000"/>
              </a:solidFill>
              <a:latin typeface="Calibri"/>
              <a:ea typeface="Calibri"/>
              <a:cs typeface="Calibri"/>
            </a:defRPr>
          </a:pPr>
          <a:endParaRPr lang="fr-FR"/>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'Analyse rétrospective (2)'!$C$32</c:f>
              <c:strCache>
                <c:ptCount val="1"/>
                <c:pt idx="0">
                  <c:v>Taux d'apurement de la dette</c:v>
                </c:pt>
              </c:strCache>
            </c:strRef>
          </c:tx>
          <c:invertIfNegative val="0"/>
          <c:dLbls>
            <c:numFmt formatCode="0%" sourceLinked="0"/>
            <c:spPr>
              <a:noFill/>
              <a:ln>
                <a:noFill/>
              </a:ln>
              <a:effectLst/>
            </c:spPr>
            <c:txPr>
              <a:bodyPr/>
              <a:lstStyle/>
              <a:p>
                <a:pPr>
                  <a:defRPr sz="8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('Analyse rétrospective (2)'!$E$28,'Analyse rétrospective (2)'!$G$28,'Analyse rétrospective (2)'!$I$28)</c:f>
              <c:numCache>
                <c:formatCode>0</c:formatCode>
                <c:ptCount val="3"/>
                <c:pt idx="0">
                  <c:v>2017</c:v>
                </c:pt>
                <c:pt idx="1">
                  <c:v>2018</c:v>
                </c:pt>
                <c:pt idx="2">
                  <c:v>2019</c:v>
                </c:pt>
              </c:numCache>
            </c:numRef>
          </c:cat>
          <c:val>
            <c:numRef>
              <c:f>('Analyse rétrospective (2)'!$E$32,'Analyse rétrospective (2)'!$G$32,'Analyse rétrospective (2)'!$I$32)</c:f>
              <c:numCache>
                <c:formatCode>0.00%</c:formatCode>
                <c:ptCount val="3"/>
                <c:pt idx="0">
                  <c:v>0</c:v>
                </c:pt>
                <c:pt idx="1">
                  <c:v>0</c:v>
                </c:pt>
                <c:pt idx="2">
                  <c:v>0</c:v>
                </c:pt>
              </c:numCache>
            </c:numRef>
          </c:val>
          <c:extLst>
            <c:ext xmlns:c16="http://schemas.microsoft.com/office/drawing/2014/chart" uri="{C3380CC4-5D6E-409C-BE32-E72D297353CC}">
              <c16:uniqueId val="{00000000-4F57-44F0-935E-6536AE2685E3}"/>
            </c:ext>
          </c:extLst>
        </c:ser>
        <c:dLbls>
          <c:showLegendKey val="0"/>
          <c:showVal val="0"/>
          <c:showCatName val="0"/>
          <c:showSerName val="0"/>
          <c:showPercent val="0"/>
          <c:showBubbleSize val="0"/>
        </c:dLbls>
        <c:gapWidth val="150"/>
        <c:shape val="cylinder"/>
        <c:axId val="96712576"/>
        <c:axId val="96714112"/>
        <c:axId val="0"/>
      </c:bar3DChart>
      <c:catAx>
        <c:axId val="96712576"/>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714112"/>
        <c:crosses val="autoZero"/>
        <c:auto val="1"/>
        <c:lblAlgn val="ctr"/>
        <c:lblOffset val="100"/>
        <c:noMultiLvlLbl val="0"/>
      </c:catAx>
      <c:valAx>
        <c:axId val="9671411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712576"/>
        <c:crosses val="autoZero"/>
        <c:crossBetween val="between"/>
      </c:valAx>
      <c:spPr>
        <a:noFill/>
        <a:ln w="25400">
          <a:noFill/>
        </a:ln>
      </c:spPr>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FR"/>
              <a:t>Comparaison FRNG/BFR</a:t>
            </a:r>
          </a:p>
        </c:rich>
      </c:tx>
      <c:layout/>
      <c:overlay val="0"/>
    </c:title>
    <c:autoTitleDeleted val="0"/>
    <c:plotArea>
      <c:layout/>
      <c:barChart>
        <c:barDir val="col"/>
        <c:grouping val="clustered"/>
        <c:varyColors val="0"/>
        <c:ser>
          <c:idx val="0"/>
          <c:order val="0"/>
          <c:tx>
            <c:v>FRNG</c:v>
          </c:tx>
          <c:invertIfNegative val="0"/>
          <c:cat>
            <c:numRef>
              <c:f>('Analyse prospective (2)'!$E$5,'Analyse prospective (2)'!$G$5,'Analyse prospective (2)'!$I$5,'Analyse prospective (2)'!$K$5,'Analyse prospective (2)'!$M$5,'Analyse prospective (2)'!$O$5)</c:f>
              <c:numCache>
                <c:formatCode>General</c:formatCode>
                <c:ptCount val="6"/>
                <c:pt idx="0">
                  <c:v>2019</c:v>
                </c:pt>
                <c:pt idx="1">
                  <c:v>2020</c:v>
                </c:pt>
                <c:pt idx="2">
                  <c:v>2021</c:v>
                </c:pt>
                <c:pt idx="3">
                  <c:v>2022</c:v>
                </c:pt>
                <c:pt idx="4">
                  <c:v>2023</c:v>
                </c:pt>
                <c:pt idx="5">
                  <c:v>2024</c:v>
                </c:pt>
              </c:numCache>
            </c:numRef>
          </c:cat>
          <c:val>
            <c:numRef>
              <c:f>('Analyse prospective (2)'!$E$9,'Analyse prospective (2)'!$G$9,'Analyse prospective (2)'!$I$9,'Analyse prospective (2)'!$K$9,'Analyse prospective (2)'!$M$9,'Analyse prospective (2)'!$O$9:$P$9)</c:f>
              <c:numCache>
                <c:formatCode>"€"#,##0_);\("€"#,##0\)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0-9F8B-459B-B6BD-E6573F74ED79}"/>
            </c:ext>
          </c:extLst>
        </c:ser>
        <c:ser>
          <c:idx val="1"/>
          <c:order val="1"/>
          <c:tx>
            <c:v>BFR</c:v>
          </c:tx>
          <c:invertIfNegative val="0"/>
          <c:cat>
            <c:numRef>
              <c:f>('Analyse prospective (2)'!$E$5,'Analyse prospective (2)'!$G$5,'Analyse prospective (2)'!$I$5,'Analyse prospective (2)'!$K$5,'Analyse prospective (2)'!$M$5,'Analyse prospective (2)'!$O$5)</c:f>
              <c:numCache>
                <c:formatCode>General</c:formatCode>
                <c:ptCount val="6"/>
                <c:pt idx="0">
                  <c:v>2019</c:v>
                </c:pt>
                <c:pt idx="1">
                  <c:v>2020</c:v>
                </c:pt>
                <c:pt idx="2">
                  <c:v>2021</c:v>
                </c:pt>
                <c:pt idx="3">
                  <c:v>2022</c:v>
                </c:pt>
                <c:pt idx="4">
                  <c:v>2023</c:v>
                </c:pt>
                <c:pt idx="5">
                  <c:v>2024</c:v>
                </c:pt>
              </c:numCache>
            </c:numRef>
          </c:cat>
          <c:val>
            <c:numRef>
              <c:f>('Analyse prospective (2)'!$E$10,'Analyse prospective (2)'!$G$10,'Analyse prospective (2)'!$I$10,'Analyse prospective (2)'!$K$10,'Analyse prospective (2)'!$M$10,'Analyse prospective (2)'!$O$10)</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F8B-459B-B6BD-E6573F74ED79}"/>
            </c:ext>
          </c:extLst>
        </c:ser>
        <c:dLbls>
          <c:showLegendKey val="0"/>
          <c:showVal val="0"/>
          <c:showCatName val="0"/>
          <c:showSerName val="0"/>
          <c:showPercent val="0"/>
          <c:showBubbleSize val="0"/>
        </c:dLbls>
        <c:gapWidth val="150"/>
        <c:axId val="107347328"/>
        <c:axId val="107418752"/>
      </c:barChart>
      <c:catAx>
        <c:axId val="1073473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7418752"/>
        <c:crosses val="autoZero"/>
        <c:auto val="1"/>
        <c:lblAlgn val="ctr"/>
        <c:lblOffset val="100"/>
        <c:noMultiLvlLbl val="0"/>
      </c:catAx>
      <c:valAx>
        <c:axId val="107418752"/>
        <c:scaling>
          <c:orientation val="minMax"/>
        </c:scaling>
        <c:delete val="0"/>
        <c:axPos val="l"/>
        <c:numFmt formatCode="&quot;€&quot;#,##0_);\(&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7347328"/>
        <c:crosses val="autoZero"/>
        <c:crossBetween val="between"/>
        <c:minorUnit val="821.64156899999796"/>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31" l="0.70000000000000062" r="0.70000000000000062" t="0.750000000000013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b="1" i="0" u="none" strike="noStrike" baseline="0">
                <a:solidFill>
                  <a:srgbClr val="000000"/>
                </a:solidFill>
                <a:latin typeface="Calibri"/>
                <a:ea typeface="Calibri"/>
                <a:cs typeface="Calibri"/>
              </a:defRPr>
            </a:pPr>
            <a:r>
              <a:rPr lang="fr-FR"/>
              <a:t>Taux de vétusté</a:t>
            </a:r>
          </a:p>
        </c:rich>
      </c:tx>
      <c:layout/>
      <c:overlay val="0"/>
    </c:title>
    <c:autoTitleDeleted val="0"/>
    <c:plotArea>
      <c:layout/>
      <c:barChart>
        <c:barDir val="col"/>
        <c:grouping val="clustered"/>
        <c:varyColors val="0"/>
        <c:ser>
          <c:idx val="0"/>
          <c:order val="0"/>
          <c:tx>
            <c:strRef>
              <c:f>'Analyse prospective (2)'!$B$44</c:f>
              <c:strCache>
                <c:ptCount val="1"/>
                <c:pt idx="0">
                  <c:v>Taux de vétusté des constructions</c:v>
                </c:pt>
              </c:strCache>
            </c:strRef>
          </c:tx>
          <c:invertIfNegative val="0"/>
          <c:cat>
            <c:numRef>
              <c:f>('Analyse prospective (2)'!$E$42,'Analyse prospective (2)'!$G$42,'Analyse prospective (2)'!$I$42,'Analyse prospective (2)'!$K$42,'Analyse prospective (2)'!$M$42,'Analyse prospective (2)'!$O$42)</c:f>
              <c:numCache>
                <c:formatCode>0</c:formatCode>
                <c:ptCount val="6"/>
                <c:pt idx="0">
                  <c:v>2019</c:v>
                </c:pt>
                <c:pt idx="1">
                  <c:v>2020</c:v>
                </c:pt>
                <c:pt idx="2">
                  <c:v>2021</c:v>
                </c:pt>
                <c:pt idx="3">
                  <c:v>2022</c:v>
                </c:pt>
                <c:pt idx="4">
                  <c:v>2023</c:v>
                </c:pt>
                <c:pt idx="5">
                  <c:v>2024</c:v>
                </c:pt>
              </c:numCache>
            </c:numRef>
          </c:cat>
          <c:val>
            <c:numRef>
              <c:f>('Analyse prospective (2)'!$E$44,'Analyse prospective (2)'!$G$44,'Analyse prospective (2)'!$I$44,'Analyse prospective (2)'!$K$44,'Analyse prospective (2)'!$M$44,'Analyse prospective (2)'!$O$44)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E78-4786-BD0D-A6E4699E3687}"/>
            </c:ext>
          </c:extLst>
        </c:ser>
        <c:ser>
          <c:idx val="1"/>
          <c:order val="1"/>
          <c:tx>
            <c:strRef>
              <c:f>'Analyse prospective (2)'!$B$45</c:f>
              <c:strCache>
                <c:ptCount val="1"/>
                <c:pt idx="0">
                  <c:v>Taux de vétusté des équipements</c:v>
                </c:pt>
              </c:strCache>
            </c:strRef>
          </c:tx>
          <c:invertIfNegative val="0"/>
          <c:cat>
            <c:numRef>
              <c:f>('Analyse prospective (2)'!$E$42,'Analyse prospective (2)'!$G$42,'Analyse prospective (2)'!$I$42,'Analyse prospective (2)'!$K$42,'Analyse prospective (2)'!$M$42,'Analyse prospective (2)'!$O$42)</c:f>
              <c:numCache>
                <c:formatCode>0</c:formatCode>
                <c:ptCount val="6"/>
                <c:pt idx="0">
                  <c:v>2019</c:v>
                </c:pt>
                <c:pt idx="1">
                  <c:v>2020</c:v>
                </c:pt>
                <c:pt idx="2">
                  <c:v>2021</c:v>
                </c:pt>
                <c:pt idx="3">
                  <c:v>2022</c:v>
                </c:pt>
                <c:pt idx="4">
                  <c:v>2023</c:v>
                </c:pt>
                <c:pt idx="5">
                  <c:v>2024</c:v>
                </c:pt>
              </c:numCache>
            </c:numRef>
          </c:cat>
          <c:val>
            <c:numRef>
              <c:f>('Analyse prospective (2)'!$E$45,'Analyse prospective (2)'!$G$45,'Analyse prospective (2)'!$I$45,'Analyse prospective (2)'!$K$45,'Analyse prospective (2)'!$M$45,'Analyse prospective (2)'!$O$45)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E78-4786-BD0D-A6E4699E3687}"/>
            </c:ext>
          </c:extLst>
        </c:ser>
        <c:dLbls>
          <c:showLegendKey val="0"/>
          <c:showVal val="0"/>
          <c:showCatName val="0"/>
          <c:showSerName val="0"/>
          <c:showPercent val="0"/>
          <c:showBubbleSize val="0"/>
        </c:dLbls>
        <c:gapWidth val="150"/>
        <c:axId val="110987904"/>
        <c:axId val="110997888"/>
      </c:barChart>
      <c:catAx>
        <c:axId val="110987904"/>
        <c:scaling>
          <c:orientation val="minMax"/>
        </c:scaling>
        <c:delete val="0"/>
        <c:axPos val="b"/>
        <c:numFmt formatCode="0"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fr-FR"/>
          </a:p>
        </c:txPr>
        <c:crossAx val="110997888"/>
        <c:crosses val="autoZero"/>
        <c:auto val="1"/>
        <c:lblAlgn val="ctr"/>
        <c:lblOffset val="100"/>
        <c:noMultiLvlLbl val="0"/>
      </c:catAx>
      <c:valAx>
        <c:axId val="110997888"/>
        <c:scaling>
          <c:orientation val="minMax"/>
        </c:scaling>
        <c:delete val="0"/>
        <c:axPos val="l"/>
        <c:numFmt formatCode="0%"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fr-FR"/>
          </a:p>
        </c:txPr>
        <c:crossAx val="110987904"/>
        <c:crosses val="autoZero"/>
        <c:crossBetween val="between"/>
      </c:valAx>
    </c:plotArea>
    <c:legend>
      <c:legendPos val="r"/>
      <c:layout>
        <c:manualLayout>
          <c:xMode val="edge"/>
          <c:yMode val="edge"/>
          <c:x val="0.78175923355138555"/>
          <c:y val="0.42205770790279351"/>
          <c:w val="0.18815143875703993"/>
          <c:h val="0.2532262536950321"/>
        </c:manualLayout>
      </c:layout>
      <c:overlay val="0"/>
      <c:txPr>
        <a:bodyPr/>
        <a:lstStyle/>
        <a:p>
          <a:pPr>
            <a:defRPr sz="96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layout/>
      <c:overlay val="0"/>
      <c:txPr>
        <a:bodyPr/>
        <a:lstStyle/>
        <a:p>
          <a:pPr>
            <a:defRPr sz="1400" b="1" i="0" u="none" strike="noStrike" baseline="0">
              <a:solidFill>
                <a:srgbClr val="000000"/>
              </a:solidFill>
              <a:latin typeface="Calibri"/>
              <a:ea typeface="Calibri"/>
              <a:cs typeface="Calibri"/>
            </a:defRPr>
          </a:pPr>
          <a:endParaRPr lang="fr-FR"/>
        </a:p>
      </c:txPr>
    </c:title>
    <c:autoTitleDeleted val="0"/>
    <c:view3D>
      <c:rotX val="15"/>
      <c:rotY val="20"/>
      <c:depthPercent val="100"/>
      <c:rAngAx val="1"/>
    </c:view3D>
    <c:floor>
      <c:thickness val="0"/>
    </c:floor>
    <c:sideWall>
      <c:thickness val="0"/>
    </c:sideWall>
    <c:backWall>
      <c:thickness val="0"/>
    </c:backWall>
    <c:plotArea>
      <c:layout/>
      <c:bar3DChart>
        <c:barDir val="col"/>
        <c:grouping val="percentStacked"/>
        <c:varyColors val="0"/>
        <c:ser>
          <c:idx val="0"/>
          <c:order val="0"/>
          <c:tx>
            <c:strRef>
              <c:f>'Analyse prospective (2)'!$C$27</c:f>
              <c:strCache>
                <c:ptCount val="1"/>
                <c:pt idx="0">
                  <c:v>Taux d'apurement de la dette</c:v>
                </c:pt>
              </c:strCache>
            </c:strRef>
          </c:tx>
          <c:invertIfNegative val="0"/>
          <c:cat>
            <c:numRef>
              <c:f>('Analyse prospective (2)'!$E$24,'Analyse prospective (2)'!$G$24,'Analyse prospective (2)'!$I$24,'Analyse prospective (2)'!$K$24,'Analyse prospective (2)'!$M$24,'Analyse prospective (2)'!$O$24)</c:f>
              <c:numCache>
                <c:formatCode>0</c:formatCode>
                <c:ptCount val="6"/>
                <c:pt idx="0">
                  <c:v>2019</c:v>
                </c:pt>
                <c:pt idx="1">
                  <c:v>2020</c:v>
                </c:pt>
                <c:pt idx="2">
                  <c:v>2021</c:v>
                </c:pt>
                <c:pt idx="3">
                  <c:v>2022</c:v>
                </c:pt>
                <c:pt idx="4">
                  <c:v>2023</c:v>
                </c:pt>
                <c:pt idx="5">
                  <c:v>2024</c:v>
                </c:pt>
              </c:numCache>
            </c:numRef>
          </c:cat>
          <c:val>
            <c:numRef>
              <c:f>('Analyse prospective (2)'!$E$27,'Analyse prospective (2)'!$G$27,'Analyse prospective (2)'!$I$27,'Analyse prospective (2)'!$K$27,'Analyse prospective (2)'!$M$27,'Analyse prospective (2)'!$O$27)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3A5-402D-B2B7-54C3AF0A5B63}"/>
            </c:ext>
          </c:extLst>
        </c:ser>
        <c:dLbls>
          <c:showLegendKey val="0"/>
          <c:showVal val="0"/>
          <c:showCatName val="0"/>
          <c:showSerName val="0"/>
          <c:showPercent val="0"/>
          <c:showBubbleSize val="0"/>
        </c:dLbls>
        <c:gapWidth val="150"/>
        <c:shape val="pyramid"/>
        <c:axId val="111035136"/>
        <c:axId val="111036672"/>
        <c:axId val="0"/>
      </c:bar3DChart>
      <c:catAx>
        <c:axId val="111035136"/>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1036672"/>
        <c:crosses val="autoZero"/>
        <c:auto val="1"/>
        <c:lblAlgn val="ctr"/>
        <c:lblOffset val="100"/>
        <c:noMultiLvlLbl val="0"/>
      </c:catAx>
      <c:valAx>
        <c:axId val="111036672"/>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1035136"/>
        <c:crosses val="autoZero"/>
        <c:crossBetween val="between"/>
      </c:valAx>
      <c:spPr>
        <a:noFill/>
        <a:ln w="25400">
          <a:noFill/>
        </a:ln>
      </c:spPr>
    </c:plotArea>
    <c:legend>
      <c:legendPos val="r"/>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1" i="0" u="none" strike="noStrike" baseline="0">
                <a:solidFill>
                  <a:srgbClr val="000000"/>
                </a:solidFill>
                <a:latin typeface="Calibri"/>
                <a:ea typeface="Calibri"/>
                <a:cs typeface="Calibri"/>
              </a:defRPr>
            </a:pPr>
            <a:r>
              <a:rPr lang="fr-FR"/>
              <a:t>Comparaison FRNG/BFR</a:t>
            </a:r>
          </a:p>
        </c:rich>
      </c:tx>
      <c:layout/>
      <c:overlay val="0"/>
    </c:title>
    <c:autoTitleDeleted val="0"/>
    <c:plotArea>
      <c:layout/>
      <c:barChart>
        <c:barDir val="col"/>
        <c:grouping val="clustered"/>
        <c:varyColors val="0"/>
        <c:ser>
          <c:idx val="0"/>
          <c:order val="0"/>
          <c:tx>
            <c:v>FRNG</c:v>
          </c:tx>
          <c:invertIfNegative val="0"/>
          <c:cat>
            <c:numRef>
              <c:f>'Analyse rétrospective (2)'!$E$5:$J$5</c:f>
              <c:numCache>
                <c:formatCode>0</c:formatCode>
                <c:ptCount val="6"/>
                <c:pt idx="0">
                  <c:v>2017</c:v>
                </c:pt>
                <c:pt idx="2">
                  <c:v>2018</c:v>
                </c:pt>
                <c:pt idx="4">
                  <c:v>2019</c:v>
                </c:pt>
              </c:numCache>
            </c:numRef>
          </c:cat>
          <c:val>
            <c:numRef>
              <c:f>'Analyse rétrospective (2)'!$E$11:$J$11</c:f>
              <c:numCache>
                <c:formatCode>"€"#,##0_);\("€"#,##0\)</c:formatCode>
                <c:ptCount val="6"/>
                <c:pt idx="0">
                  <c:v>0</c:v>
                </c:pt>
                <c:pt idx="2">
                  <c:v>0</c:v>
                </c:pt>
                <c:pt idx="4">
                  <c:v>0</c:v>
                </c:pt>
              </c:numCache>
            </c:numRef>
          </c:val>
          <c:extLst>
            <c:ext xmlns:c16="http://schemas.microsoft.com/office/drawing/2014/chart" uri="{C3380CC4-5D6E-409C-BE32-E72D297353CC}">
              <c16:uniqueId val="{00000000-F249-43B9-9AB1-92DC6BF3B32D}"/>
            </c:ext>
          </c:extLst>
        </c:ser>
        <c:ser>
          <c:idx val="1"/>
          <c:order val="1"/>
          <c:tx>
            <c:v>BFR</c:v>
          </c:tx>
          <c:invertIfNegative val="0"/>
          <c:cat>
            <c:numRef>
              <c:f>'Analyse rétrospective (2)'!$E$5:$J$5</c:f>
              <c:numCache>
                <c:formatCode>0</c:formatCode>
                <c:ptCount val="6"/>
                <c:pt idx="0">
                  <c:v>2017</c:v>
                </c:pt>
                <c:pt idx="2">
                  <c:v>2018</c:v>
                </c:pt>
                <c:pt idx="4">
                  <c:v>2019</c:v>
                </c:pt>
              </c:numCache>
            </c:numRef>
          </c:cat>
          <c:val>
            <c:numRef>
              <c:f>'Analyse rétrospective (2)'!$E$13:$J$13</c:f>
              <c:numCache>
                <c:formatCode>"€"#,##0_);\("€"#,##0\)</c:formatCode>
                <c:ptCount val="6"/>
                <c:pt idx="0">
                  <c:v>0</c:v>
                </c:pt>
                <c:pt idx="2">
                  <c:v>0</c:v>
                </c:pt>
                <c:pt idx="4">
                  <c:v>0</c:v>
                </c:pt>
              </c:numCache>
            </c:numRef>
          </c:val>
          <c:extLst>
            <c:ext xmlns:c16="http://schemas.microsoft.com/office/drawing/2014/chart" uri="{C3380CC4-5D6E-409C-BE32-E72D297353CC}">
              <c16:uniqueId val="{00000001-F249-43B9-9AB1-92DC6BF3B32D}"/>
            </c:ext>
          </c:extLst>
        </c:ser>
        <c:dLbls>
          <c:showLegendKey val="0"/>
          <c:showVal val="0"/>
          <c:showCatName val="0"/>
          <c:showSerName val="0"/>
          <c:showPercent val="0"/>
          <c:showBubbleSize val="0"/>
        </c:dLbls>
        <c:gapWidth val="150"/>
        <c:axId val="95096192"/>
        <c:axId val="95126656"/>
      </c:barChart>
      <c:catAx>
        <c:axId val="95096192"/>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5126656"/>
        <c:crosses val="autoZero"/>
        <c:auto val="1"/>
        <c:lblAlgn val="ctr"/>
        <c:lblOffset val="100"/>
        <c:noMultiLvlLbl val="0"/>
      </c:catAx>
      <c:valAx>
        <c:axId val="95126656"/>
        <c:scaling>
          <c:orientation val="minMax"/>
        </c:scaling>
        <c:delete val="0"/>
        <c:axPos val="l"/>
        <c:numFmt formatCode="&quot;€&quot;#,##0_);\(&quot;€&quot;#,##0\)" sourceLinked="1"/>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95096192"/>
        <c:crosses val="autoZero"/>
        <c:crossBetween val="between"/>
        <c:minorUnit val="1388.0855120000001"/>
      </c:valAx>
      <c:spPr>
        <a:noFill/>
        <a:ln w="25400">
          <a:noFill/>
        </a:ln>
      </c:spPr>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000" b="0" i="0" u="none" strike="noStrike" baseline="0">
                <a:solidFill>
                  <a:srgbClr val="000000"/>
                </a:solidFill>
                <a:latin typeface="Calibri"/>
                <a:ea typeface="Calibri"/>
                <a:cs typeface="Calibri"/>
              </a:defRPr>
            </a:pPr>
            <a:r>
              <a:rPr lang="fr-FR" sz="900" b="1" i="0" u="none" strike="noStrike" baseline="0">
                <a:solidFill>
                  <a:srgbClr val="000000"/>
                </a:solidFill>
                <a:latin typeface="Calibri"/>
              </a:rPr>
              <a:t>Délai rotation des créances </a:t>
            </a:r>
            <a:r>
              <a:rPr lang="fr-FR" sz="900" b="0" i="0" u="none" strike="noStrike" baseline="0">
                <a:solidFill>
                  <a:srgbClr val="000000"/>
                </a:solidFill>
                <a:latin typeface="Calibri"/>
              </a:rPr>
              <a:t>(en jours)</a:t>
            </a:r>
          </a:p>
        </c:rich>
      </c:tx>
      <c:layout/>
      <c:overlay val="0"/>
    </c:title>
    <c:autoTitleDeleted val="0"/>
    <c:plotArea>
      <c:layout/>
      <c:barChart>
        <c:barDir val="col"/>
        <c:grouping val="clustered"/>
        <c:varyColors val="0"/>
        <c:ser>
          <c:idx val="0"/>
          <c:order val="0"/>
          <c:tx>
            <c:v>rotation créances</c:v>
          </c:tx>
          <c:invertIfNegative val="0"/>
          <c:dLbls>
            <c:dLbl>
              <c:idx val="0"/>
              <c:spPr/>
              <c:txPr>
                <a:bodyPr/>
                <a:lstStyle/>
                <a:p>
                  <a:pPr>
                    <a:defRPr sz="900" b="1" i="0" u="none" strike="noStrike" baseline="0">
                      <a:solidFill>
                        <a:srgbClr val="FF66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0-36D4-41EE-B0E8-8742B2ABF40D}"/>
                </c:ext>
              </c:extLst>
            </c:dLbl>
            <c:dLbl>
              <c:idx val="1"/>
              <c:spPr/>
              <c:txPr>
                <a:bodyPr/>
                <a:lstStyle/>
                <a:p>
                  <a:pPr>
                    <a:defRPr sz="900" b="1" i="0" u="none" strike="noStrike" baseline="0">
                      <a:solidFill>
                        <a:srgbClr val="FF66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36D4-41EE-B0E8-8742B2ABF40D}"/>
                </c:ext>
              </c:extLst>
            </c:dLbl>
            <c:dLbl>
              <c:idx val="2"/>
              <c:spPr/>
              <c:txPr>
                <a:bodyPr/>
                <a:lstStyle/>
                <a:p>
                  <a:pPr>
                    <a:defRPr sz="900" b="1" i="0" u="none" strike="noStrike" baseline="0">
                      <a:solidFill>
                        <a:srgbClr val="FF66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2-36D4-41EE-B0E8-8742B2ABF40D}"/>
                </c:ext>
              </c:extLst>
            </c:dLbl>
            <c:spPr>
              <a:noFill/>
              <a:ln w="25400">
                <a:noFill/>
              </a:ln>
            </c:spPr>
            <c:txPr>
              <a:bodyPr/>
              <a:lstStyle/>
              <a:p>
                <a:pPr>
                  <a:defRPr sz="9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CAF!$H$9:$J$9</c:f>
              <c:numCache>
                <c:formatCode>0</c:formatCode>
                <c:ptCount val="3"/>
                <c:pt idx="0">
                  <c:v>2017</c:v>
                </c:pt>
                <c:pt idx="1">
                  <c:v>2018</c:v>
                </c:pt>
                <c:pt idx="2">
                  <c:v>2019</c:v>
                </c:pt>
              </c:numCache>
            </c:numRef>
          </c:cat>
          <c:val>
            <c:numRef>
              <c:f>('Analyse rétrospective (2)'!$E$82,'Analyse rétrospective (2)'!$G$82,'Analyse rétrospective (2)'!$I$82)</c:f>
              <c:numCache>
                <c:formatCode>0.00</c:formatCode>
                <c:ptCount val="3"/>
                <c:pt idx="0">
                  <c:v>0</c:v>
                </c:pt>
                <c:pt idx="1">
                  <c:v>0</c:v>
                </c:pt>
                <c:pt idx="2">
                  <c:v>0</c:v>
                </c:pt>
              </c:numCache>
            </c:numRef>
          </c:val>
          <c:extLst>
            <c:ext xmlns:c16="http://schemas.microsoft.com/office/drawing/2014/chart" uri="{C3380CC4-5D6E-409C-BE32-E72D297353CC}">
              <c16:uniqueId val="{00000003-36D4-41EE-B0E8-8742B2ABF40D}"/>
            </c:ext>
          </c:extLst>
        </c:ser>
        <c:dLbls>
          <c:showLegendKey val="0"/>
          <c:showVal val="0"/>
          <c:showCatName val="0"/>
          <c:showSerName val="0"/>
          <c:showPercent val="0"/>
          <c:showBubbleSize val="0"/>
        </c:dLbls>
        <c:gapWidth val="150"/>
        <c:axId val="96377856"/>
        <c:axId val="96387840"/>
      </c:barChart>
      <c:catAx>
        <c:axId val="96377856"/>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387840"/>
        <c:crosses val="autoZero"/>
        <c:auto val="1"/>
        <c:lblAlgn val="ctr"/>
        <c:lblOffset val="100"/>
        <c:noMultiLvlLbl val="0"/>
      </c:catAx>
      <c:valAx>
        <c:axId val="96387840"/>
        <c:scaling>
          <c:orientation val="minMax"/>
        </c:scaling>
        <c:delete val="0"/>
        <c:axPos val="l"/>
        <c:numFmt formatCode="0.00"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96377856"/>
        <c:crosses val="autoZero"/>
        <c:crossBetween val="between"/>
        <c:majorUnit val="1"/>
        <c:min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000" b="0" i="0" u="none" strike="noStrike" baseline="0">
                <a:solidFill>
                  <a:srgbClr val="000000"/>
                </a:solidFill>
                <a:latin typeface="Calibri"/>
                <a:ea typeface="Calibri"/>
                <a:cs typeface="Calibri"/>
              </a:defRPr>
            </a:pPr>
            <a:r>
              <a:rPr lang="fr-FR" sz="900" b="1" i="0" u="none" strike="noStrike" baseline="0">
                <a:solidFill>
                  <a:srgbClr val="000000"/>
                </a:solidFill>
                <a:latin typeface="Calibri"/>
              </a:rPr>
              <a:t>Délai rotation des dettes </a:t>
            </a:r>
            <a:r>
              <a:rPr lang="fr-FR" sz="900" b="0" i="0" u="none" strike="noStrike" baseline="0">
                <a:solidFill>
                  <a:srgbClr val="000000"/>
                </a:solidFill>
                <a:latin typeface="Calibri"/>
              </a:rPr>
              <a:t>(en jours)</a:t>
            </a:r>
          </a:p>
        </c:rich>
      </c:tx>
      <c:layout/>
      <c:overlay val="0"/>
    </c:title>
    <c:autoTitleDeleted val="0"/>
    <c:plotArea>
      <c:layout/>
      <c:barChart>
        <c:barDir val="col"/>
        <c:grouping val="clustered"/>
        <c:varyColors val="0"/>
        <c:ser>
          <c:idx val="0"/>
          <c:order val="0"/>
          <c:tx>
            <c:v>délai rotation dettes</c:v>
          </c:tx>
          <c:invertIfNegative val="0"/>
          <c:dLbls>
            <c:spPr>
              <a:noFill/>
              <a:ln w="25400">
                <a:noFill/>
              </a:ln>
            </c:spPr>
            <c:txPr>
              <a:bodyPr/>
              <a:lstStyle/>
              <a:p>
                <a:pPr>
                  <a:defRPr sz="800" b="1" i="0" u="none" strike="noStrike" baseline="0">
                    <a:solidFill>
                      <a:srgbClr val="FF66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CAF!$H$9:$J$9</c:f>
              <c:numCache>
                <c:formatCode>0</c:formatCode>
                <c:ptCount val="3"/>
                <c:pt idx="0">
                  <c:v>2017</c:v>
                </c:pt>
                <c:pt idx="1">
                  <c:v>2018</c:v>
                </c:pt>
                <c:pt idx="2">
                  <c:v>2019</c:v>
                </c:pt>
              </c:numCache>
            </c:numRef>
          </c:cat>
          <c:val>
            <c:numRef>
              <c:f>('Analyse rétrospective (2)'!$E$83,'Analyse rétrospective (2)'!$G$83,'Analyse rétrospective (2)'!$I$83)</c:f>
              <c:numCache>
                <c:formatCode>0.00</c:formatCode>
                <c:ptCount val="3"/>
                <c:pt idx="0">
                  <c:v>0</c:v>
                </c:pt>
                <c:pt idx="1">
                  <c:v>0</c:v>
                </c:pt>
                <c:pt idx="2">
                  <c:v>0</c:v>
                </c:pt>
              </c:numCache>
            </c:numRef>
          </c:val>
          <c:extLst>
            <c:ext xmlns:c16="http://schemas.microsoft.com/office/drawing/2014/chart" uri="{C3380CC4-5D6E-409C-BE32-E72D297353CC}">
              <c16:uniqueId val="{00000000-9EB3-44BE-9FCB-E387E53581C2}"/>
            </c:ext>
          </c:extLst>
        </c:ser>
        <c:dLbls>
          <c:showLegendKey val="0"/>
          <c:showVal val="0"/>
          <c:showCatName val="0"/>
          <c:showSerName val="0"/>
          <c:showPercent val="0"/>
          <c:showBubbleSize val="0"/>
        </c:dLbls>
        <c:gapWidth val="150"/>
        <c:axId val="96420224"/>
        <c:axId val="96421760"/>
      </c:barChart>
      <c:catAx>
        <c:axId val="96420224"/>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421760"/>
        <c:crosses val="autoZero"/>
        <c:auto val="1"/>
        <c:lblAlgn val="ctr"/>
        <c:lblOffset val="100"/>
        <c:noMultiLvlLbl val="0"/>
      </c:catAx>
      <c:valAx>
        <c:axId val="96421760"/>
        <c:scaling>
          <c:orientation val="minMax"/>
        </c:scaling>
        <c:delete val="0"/>
        <c:axPos val="l"/>
        <c:numFmt formatCode="0.00"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964202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1" i="0" u="none" strike="noStrike" baseline="0">
                <a:solidFill>
                  <a:srgbClr val="000000"/>
                </a:solidFill>
                <a:latin typeface="Calibri"/>
                <a:ea typeface="Calibri"/>
                <a:cs typeface="Calibri"/>
              </a:defRPr>
            </a:pPr>
            <a:r>
              <a:rPr lang="fr-FR"/>
              <a:t>Durée apparente de la dette</a:t>
            </a:r>
          </a:p>
        </c:rich>
      </c:tx>
      <c:layout/>
      <c:overlay val="0"/>
    </c:title>
    <c:autoTitleDeleted val="0"/>
    <c:plotArea>
      <c:layout/>
      <c:barChart>
        <c:barDir val="col"/>
        <c:grouping val="clustered"/>
        <c:varyColors val="0"/>
        <c:ser>
          <c:idx val="0"/>
          <c:order val="0"/>
          <c:tx>
            <c:v>Durée apparente de la dette</c:v>
          </c:tx>
          <c:invertIfNegative val="0"/>
          <c:dLbls>
            <c:dLbl>
              <c:idx val="0"/>
              <c:spPr/>
              <c:txPr>
                <a:bodyPr/>
                <a:lstStyle/>
                <a:p>
                  <a:pPr>
                    <a:defRPr sz="7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0-3EB5-4DB1-9F02-4540F38614A8}"/>
                </c:ext>
              </c:extLst>
            </c:dLbl>
            <c:dLbl>
              <c:idx val="1"/>
              <c:spPr/>
              <c:txPr>
                <a:bodyPr/>
                <a:lstStyle/>
                <a:p>
                  <a:pPr>
                    <a:defRPr sz="7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1-3EB5-4DB1-9F02-4540F38614A8}"/>
                </c:ext>
              </c:extLst>
            </c:dLbl>
            <c:dLbl>
              <c:idx val="2"/>
              <c:spPr/>
              <c:txPr>
                <a:bodyPr/>
                <a:lstStyle/>
                <a:p>
                  <a:pPr>
                    <a:defRPr sz="7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6="http://schemas.microsoft.com/office/drawing/2014/chart" uri="{C3380CC4-5D6E-409C-BE32-E72D297353CC}">
                  <c16:uniqueId val="{00000002-3EB5-4DB1-9F02-4540F38614A8}"/>
                </c:ext>
              </c:extLst>
            </c:dLbl>
            <c:spPr>
              <a:noFill/>
              <a:ln w="25400">
                <a:noFill/>
              </a:ln>
            </c:spPr>
            <c:txPr>
              <a:bodyPr/>
              <a:lstStyle/>
              <a:p>
                <a:pPr>
                  <a:defRPr sz="8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CAF!$H$9:$J$9</c:f>
              <c:numCache>
                <c:formatCode>0</c:formatCode>
                <c:ptCount val="3"/>
                <c:pt idx="0">
                  <c:v>2017</c:v>
                </c:pt>
                <c:pt idx="1">
                  <c:v>2018</c:v>
                </c:pt>
                <c:pt idx="2">
                  <c:v>2019</c:v>
                </c:pt>
              </c:numCache>
            </c:numRef>
          </c:cat>
          <c:val>
            <c:numRef>
              <c:f>('Analyse rétrospective (2)'!$E$30,'Analyse rétrospective (2)'!$G$30,'Analyse rétrospective (2)'!$I$30)</c:f>
              <c:numCache>
                <c:formatCode>0.00</c:formatCode>
                <c:ptCount val="3"/>
                <c:pt idx="0">
                  <c:v>0</c:v>
                </c:pt>
                <c:pt idx="1">
                  <c:v>0</c:v>
                </c:pt>
                <c:pt idx="2" formatCode="#,##0.00">
                  <c:v>0</c:v>
                </c:pt>
              </c:numCache>
            </c:numRef>
          </c:val>
          <c:extLst>
            <c:ext xmlns:c16="http://schemas.microsoft.com/office/drawing/2014/chart" uri="{C3380CC4-5D6E-409C-BE32-E72D297353CC}">
              <c16:uniqueId val="{00000003-3EB5-4DB1-9F02-4540F38614A8}"/>
            </c:ext>
          </c:extLst>
        </c:ser>
        <c:ser>
          <c:idx val="1"/>
          <c:order val="1"/>
          <c:tx>
            <c:v>Seuil d'alerte : 10 ans</c:v>
          </c:tx>
          <c:invertIfNegative val="0"/>
          <c:cat>
            <c:numRef>
              <c:f>CAF!$H$9:$J$9</c:f>
              <c:numCache>
                <c:formatCode>0</c:formatCode>
                <c:ptCount val="3"/>
                <c:pt idx="0">
                  <c:v>2017</c:v>
                </c:pt>
                <c:pt idx="1">
                  <c:v>2018</c:v>
                </c:pt>
                <c:pt idx="2">
                  <c:v>2019</c:v>
                </c:pt>
              </c:numCache>
            </c:numRef>
          </c:cat>
          <c:val>
            <c:numRef>
              <c:f>('Analyse rétrospective (2)'!$F$33,'Analyse rétrospective (2)'!$H$33,'Analyse rétrospective (2)'!$J$33)</c:f>
              <c:numCache>
                <c:formatCode>General</c:formatCode>
                <c:ptCount val="3"/>
                <c:pt idx="0">
                  <c:v>10</c:v>
                </c:pt>
                <c:pt idx="1">
                  <c:v>10</c:v>
                </c:pt>
                <c:pt idx="2">
                  <c:v>10</c:v>
                </c:pt>
              </c:numCache>
            </c:numRef>
          </c:val>
          <c:extLst>
            <c:ext xmlns:c16="http://schemas.microsoft.com/office/drawing/2014/chart" uri="{C3380CC4-5D6E-409C-BE32-E72D297353CC}">
              <c16:uniqueId val="{00000004-3EB5-4DB1-9F02-4540F38614A8}"/>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540160"/>
        <c:crosses val="autoZero"/>
        <c:auto val="1"/>
        <c:lblAlgn val="ctr"/>
        <c:lblOffset val="100"/>
        <c:noMultiLvlLbl val="0"/>
      </c:catAx>
      <c:valAx>
        <c:axId val="96540160"/>
        <c:scaling>
          <c:orientation val="minMax"/>
        </c:scaling>
        <c:delete val="0"/>
        <c:axPos val="l"/>
        <c:numFmt formatCode="0.0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538624"/>
        <c:crosses val="autoZero"/>
        <c:crossBetween val="between"/>
      </c:valAx>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050" b="1" i="0" u="none" strike="noStrike" baseline="0">
                <a:solidFill>
                  <a:srgbClr val="000000"/>
                </a:solidFill>
                <a:latin typeface="Calibri"/>
                <a:ea typeface="Calibri"/>
                <a:cs typeface="Calibri"/>
              </a:defRPr>
            </a:pPr>
            <a:r>
              <a:rPr lang="fr-FR"/>
              <a:t>Taux de marge brute</a:t>
            </a:r>
          </a:p>
        </c:rich>
      </c:tx>
      <c:layout/>
      <c:overlay val="0"/>
    </c:title>
    <c:autoTitleDeleted val="0"/>
    <c:plotArea>
      <c:layout/>
      <c:lineChart>
        <c:grouping val="standard"/>
        <c:varyColors val="0"/>
        <c:ser>
          <c:idx val="0"/>
          <c:order val="0"/>
          <c:tx>
            <c:v>Taux de marge brute</c:v>
          </c:tx>
          <c:marker>
            <c:symbol val="none"/>
          </c:marker>
          <c:dLbls>
            <c:dLbl>
              <c:idx val="0"/>
              <c:layout>
                <c:manualLayout>
                  <c:x val="-2.026343098498783E-2"/>
                  <c:y val="-6.17283950617283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15-4F84-8380-1175F64FED9D}"/>
                </c:ext>
              </c:extLst>
            </c:dLbl>
            <c:dLbl>
              <c:idx val="1"/>
              <c:layout>
                <c:manualLayout>
                  <c:x val="-1.2158058590992697E-2"/>
                  <c:y val="4.9382716049384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15-4F84-8380-1175F64FED9D}"/>
                </c:ext>
              </c:extLst>
            </c:dLbl>
            <c:numFmt formatCode="0%" sourceLinked="0"/>
            <c:spPr>
              <a:noFill/>
              <a:ln w="25400">
                <a:noFill/>
              </a:ln>
            </c:spPr>
            <c:txPr>
              <a:bodyPr/>
              <a:lstStyle/>
              <a:p>
                <a:pPr>
                  <a:defRPr sz="800" b="0" i="0" u="none" strike="noStrike" baseline="0">
                    <a:solidFill>
                      <a:srgbClr val="666699"/>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CAF!$H$9:$J$9</c:f>
              <c:numCache>
                <c:formatCode>0</c:formatCode>
                <c:ptCount val="3"/>
                <c:pt idx="0">
                  <c:v>2017</c:v>
                </c:pt>
                <c:pt idx="1">
                  <c:v>2018</c:v>
                </c:pt>
                <c:pt idx="2">
                  <c:v>2019</c:v>
                </c:pt>
              </c:numCache>
            </c:numRef>
          </c:cat>
          <c:val>
            <c:numRef>
              <c:f>('Analyse rétrospective (2)'!$E$67,'Analyse rétrospective (2)'!$G$67,'Analyse rétrospective (2)'!$I$67)</c:f>
              <c:numCache>
                <c:formatCode>0.00%</c:formatCode>
                <c:ptCount val="3"/>
                <c:pt idx="0">
                  <c:v>0</c:v>
                </c:pt>
                <c:pt idx="1">
                  <c:v>0</c:v>
                </c:pt>
                <c:pt idx="2">
                  <c:v>0</c:v>
                </c:pt>
              </c:numCache>
            </c:numRef>
          </c:val>
          <c:smooth val="0"/>
          <c:extLst>
            <c:ext xmlns:c16="http://schemas.microsoft.com/office/drawing/2014/chart" uri="{C3380CC4-5D6E-409C-BE32-E72D297353CC}">
              <c16:uniqueId val="{00000002-8A15-4F84-8380-1175F64FED9D}"/>
            </c:ext>
          </c:extLst>
        </c:ser>
        <c:ser>
          <c:idx val="1"/>
          <c:order val="1"/>
          <c:tx>
            <c:v>Seuil minimal : 8%</c:v>
          </c:tx>
          <c:marker>
            <c:symbol val="none"/>
          </c:marker>
          <c:val>
            <c:numRef>
              <c:f>('Analyse rétrospective (2)'!$F$67,'Analyse rétrospective (2)'!$H$67,'Analyse rétrospective (2)'!$J$67)</c:f>
              <c:numCache>
                <c:formatCode>0%</c:formatCode>
                <c:ptCount val="3"/>
                <c:pt idx="0">
                  <c:v>0.08</c:v>
                </c:pt>
                <c:pt idx="1">
                  <c:v>0.08</c:v>
                </c:pt>
                <c:pt idx="2">
                  <c:v>0.08</c:v>
                </c:pt>
              </c:numCache>
            </c:numRef>
          </c:val>
          <c:smooth val="0"/>
          <c:extLst>
            <c:ext xmlns:c16="http://schemas.microsoft.com/office/drawing/2014/chart" uri="{C3380CC4-5D6E-409C-BE32-E72D297353CC}">
              <c16:uniqueId val="{00000003-8A15-4F84-8380-1175F64FED9D}"/>
            </c:ext>
          </c:extLst>
        </c:ser>
        <c:dLbls>
          <c:showLegendKey val="0"/>
          <c:showVal val="0"/>
          <c:showCatName val="0"/>
          <c:showSerName val="0"/>
          <c:showPercent val="0"/>
          <c:showBubbleSize val="0"/>
        </c:dLbls>
        <c:smooth val="0"/>
        <c:axId val="96586368"/>
        <c:axId val="96588160"/>
      </c:lineChart>
      <c:catAx>
        <c:axId val="96586368"/>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588160"/>
        <c:crosses val="autoZero"/>
        <c:auto val="1"/>
        <c:lblAlgn val="ctr"/>
        <c:lblOffset val="100"/>
        <c:noMultiLvlLbl val="0"/>
      </c:catAx>
      <c:valAx>
        <c:axId val="96588160"/>
        <c:scaling>
          <c:orientation val="minMax"/>
        </c:scaling>
        <c:delete val="0"/>
        <c:axPos val="l"/>
        <c:numFmt formatCode="0%" sourceLinked="0"/>
        <c:majorTickMark val="none"/>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96586368"/>
        <c:crosses val="autoZero"/>
        <c:crossBetween val="between"/>
      </c:valAx>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1" i="0" u="none" strike="noStrike" baseline="0">
                <a:solidFill>
                  <a:srgbClr val="000000"/>
                </a:solidFill>
                <a:latin typeface="Calibri"/>
                <a:ea typeface="Calibri"/>
                <a:cs typeface="Calibri"/>
              </a:defRPr>
            </a:pPr>
            <a:r>
              <a:rPr lang="fr-FR"/>
              <a:t>Taux d'indépendance financière</a:t>
            </a:r>
          </a:p>
        </c:rich>
      </c:tx>
      <c:layout/>
      <c:overlay val="0"/>
    </c:title>
    <c:autoTitleDeleted val="0"/>
    <c:plotArea>
      <c:layout/>
      <c:lineChart>
        <c:grouping val="standard"/>
        <c:varyColors val="0"/>
        <c:ser>
          <c:idx val="0"/>
          <c:order val="0"/>
          <c:tx>
            <c:v>Taux d'indépendance financière</c:v>
          </c:tx>
          <c:marker>
            <c:symbol val="none"/>
          </c:marker>
          <c:dLbls>
            <c:dLbl>
              <c:idx val="0"/>
              <c:layout>
                <c:manualLayout>
                  <c:x val="-4.6267087276550975E-2"/>
                  <c:y val="-3.04761721927726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5E-4E15-9BAA-A964B4F6688B}"/>
                </c:ext>
              </c:extLst>
            </c:dLbl>
            <c:dLbl>
              <c:idx val="1"/>
              <c:layout>
                <c:manualLayout>
                  <c:x val="-5.4679284963196823E-2"/>
                  <c:y val="-4.5714258289158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5E-4E15-9BAA-A964B4F6688B}"/>
                </c:ext>
              </c:extLst>
            </c:dLbl>
            <c:dLbl>
              <c:idx val="2"/>
              <c:layout>
                <c:manualLayout>
                  <c:x val="-5.0473186119873822E-2"/>
                  <c:y val="-4.5714258289158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5E-4E15-9BAA-A964B4F6688B}"/>
                </c:ext>
              </c:extLst>
            </c:dLbl>
            <c:spPr>
              <a:noFill/>
              <a:ln w="25400">
                <a:noFill/>
              </a:ln>
            </c:spPr>
            <c:txPr>
              <a:bodyPr/>
              <a:lstStyle/>
              <a:p>
                <a:pPr>
                  <a:defRPr sz="7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('Analyse rétrospective (2)'!$E$28,'Analyse rétrospective (2)'!$G$28,'Analyse rétrospective (2)'!$I$28)</c:f>
              <c:numCache>
                <c:formatCode>0</c:formatCode>
                <c:ptCount val="3"/>
                <c:pt idx="0">
                  <c:v>2017</c:v>
                </c:pt>
                <c:pt idx="1">
                  <c:v>2018</c:v>
                </c:pt>
                <c:pt idx="2">
                  <c:v>2019</c:v>
                </c:pt>
              </c:numCache>
            </c:numRef>
          </c:cat>
          <c:val>
            <c:numRef>
              <c:f>('Analyse rétrospective (2)'!$E$29,'Analyse rétrospective (2)'!$G$29,'Analyse rétrospective (2)'!$I$29)</c:f>
              <c:numCache>
                <c:formatCode>0%</c:formatCode>
                <c:ptCount val="3"/>
                <c:pt idx="0">
                  <c:v>0</c:v>
                </c:pt>
                <c:pt idx="1">
                  <c:v>0</c:v>
                </c:pt>
                <c:pt idx="2">
                  <c:v>0</c:v>
                </c:pt>
              </c:numCache>
            </c:numRef>
          </c:val>
          <c:smooth val="0"/>
          <c:extLst>
            <c:ext xmlns:c16="http://schemas.microsoft.com/office/drawing/2014/chart" uri="{C3380CC4-5D6E-409C-BE32-E72D297353CC}">
              <c16:uniqueId val="{00000003-F15E-4E15-9BAA-A964B4F6688B}"/>
            </c:ext>
          </c:extLst>
        </c:ser>
        <c:ser>
          <c:idx val="1"/>
          <c:order val="1"/>
          <c:tx>
            <c:v>Seuil d'alerte : 50%</c:v>
          </c:tx>
          <c:marker>
            <c:symbol val="none"/>
          </c:marker>
          <c:cat>
            <c:numRef>
              <c:f>('Analyse rétrospective (2)'!$E$28,'Analyse rétrospective (2)'!$G$28,'Analyse rétrospective (2)'!$I$28)</c:f>
              <c:numCache>
                <c:formatCode>0</c:formatCode>
                <c:ptCount val="3"/>
                <c:pt idx="0">
                  <c:v>2017</c:v>
                </c:pt>
                <c:pt idx="1">
                  <c:v>2018</c:v>
                </c:pt>
                <c:pt idx="2">
                  <c:v>2019</c:v>
                </c:pt>
              </c:numCache>
            </c:numRef>
          </c:cat>
          <c:val>
            <c:numRef>
              <c:f>('Analyse rétrospective (2)'!$F$29,'Analyse rétrospective (2)'!$H$29,'Analyse rétrospective (2)'!$J$29)</c:f>
              <c:numCache>
                <c:formatCode>0%</c:formatCode>
                <c:ptCount val="3"/>
                <c:pt idx="0">
                  <c:v>0.5</c:v>
                </c:pt>
                <c:pt idx="1">
                  <c:v>0.5</c:v>
                </c:pt>
                <c:pt idx="2">
                  <c:v>0.5</c:v>
                </c:pt>
              </c:numCache>
            </c:numRef>
          </c:val>
          <c:smooth val="0"/>
          <c:extLst>
            <c:ext xmlns:c16="http://schemas.microsoft.com/office/drawing/2014/chart" uri="{C3380CC4-5D6E-409C-BE32-E72D297353CC}">
              <c16:uniqueId val="{00000004-F15E-4E15-9BAA-A964B4F6688B}"/>
            </c:ext>
          </c:extLst>
        </c:ser>
        <c:dLbls>
          <c:showLegendKey val="0"/>
          <c:showVal val="0"/>
          <c:showCatName val="0"/>
          <c:showSerName val="0"/>
          <c:showPercent val="0"/>
          <c:showBubbleSize val="0"/>
        </c:dLbls>
        <c:smooth val="0"/>
        <c:axId val="96638464"/>
        <c:axId val="96640000"/>
      </c:lineChart>
      <c:catAx>
        <c:axId val="96638464"/>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640000"/>
        <c:crosses val="autoZero"/>
        <c:auto val="1"/>
        <c:lblAlgn val="ctr"/>
        <c:lblOffset val="100"/>
        <c:noMultiLvlLbl val="0"/>
      </c:catAx>
      <c:valAx>
        <c:axId val="96640000"/>
        <c:scaling>
          <c:orientation val="minMax"/>
        </c:scaling>
        <c:delete val="0"/>
        <c:axPos val="l"/>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638464"/>
        <c:crosses val="autoZero"/>
        <c:crossBetween val="between"/>
      </c:valAx>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1" i="0" u="none" strike="noStrike" baseline="0">
                <a:solidFill>
                  <a:srgbClr val="000000"/>
                </a:solidFill>
                <a:latin typeface="Calibri"/>
                <a:ea typeface="Calibri"/>
                <a:cs typeface="Calibri"/>
              </a:defRPr>
            </a:pPr>
            <a:r>
              <a:rPr lang="fr-FR"/>
              <a:t>Encours de la dette</a:t>
            </a:r>
          </a:p>
        </c:rich>
      </c:tx>
      <c:layout/>
      <c:overlay val="0"/>
    </c:title>
    <c:autoTitleDeleted val="0"/>
    <c:plotArea>
      <c:layout/>
      <c:barChart>
        <c:barDir val="col"/>
        <c:grouping val="clustered"/>
        <c:varyColors val="0"/>
        <c:ser>
          <c:idx val="0"/>
          <c:order val="0"/>
          <c:tx>
            <c:v>Encours de la dette</c:v>
          </c:tx>
          <c:invertIfNegative val="0"/>
          <c:dLbls>
            <c:spPr>
              <a:noFill/>
              <a:ln w="25400">
                <a:noFill/>
              </a:ln>
            </c:spPr>
            <c:txPr>
              <a:bodyPr/>
              <a:lstStyle/>
              <a:p>
                <a:pPr>
                  <a:defRPr sz="700" b="1"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('Analyse rétrospective (2)'!$E$28,'Analyse rétrospective (2)'!$G$28,'Analyse rétrospective (2)'!$I$28)</c:f>
              <c:numCache>
                <c:formatCode>0</c:formatCode>
                <c:ptCount val="3"/>
                <c:pt idx="0">
                  <c:v>2017</c:v>
                </c:pt>
                <c:pt idx="1">
                  <c:v>2018</c:v>
                </c:pt>
                <c:pt idx="2">
                  <c:v>2019</c:v>
                </c:pt>
              </c:numCache>
            </c:numRef>
          </c:cat>
          <c:val>
            <c:numRef>
              <c:f>('Analyse rétrospective (2)'!$E$31,'Analyse rétrospective (2)'!$G$31,'Analyse rétrospective (2)'!$I$31)</c:f>
              <c:numCache>
                <c:formatCode>0%</c:formatCode>
                <c:ptCount val="3"/>
                <c:pt idx="0">
                  <c:v>0</c:v>
                </c:pt>
                <c:pt idx="1">
                  <c:v>0</c:v>
                </c:pt>
                <c:pt idx="2">
                  <c:v>0</c:v>
                </c:pt>
              </c:numCache>
            </c:numRef>
          </c:val>
          <c:extLst>
            <c:ext xmlns:c16="http://schemas.microsoft.com/office/drawing/2014/chart" uri="{C3380CC4-5D6E-409C-BE32-E72D297353CC}">
              <c16:uniqueId val="{00000000-F6E9-44F3-A3B2-7A1D58C088EF}"/>
            </c:ext>
          </c:extLst>
        </c:ser>
        <c:ser>
          <c:idx val="1"/>
          <c:order val="1"/>
          <c:tx>
            <c:v>Seuil d'alerte : 30%</c:v>
          </c:tx>
          <c:invertIfNegative val="0"/>
          <c:cat>
            <c:numRef>
              <c:f>('Analyse rétrospective (2)'!$E$28,'Analyse rétrospective (2)'!$G$28,'Analyse rétrospective (2)'!$I$28)</c:f>
              <c:numCache>
                <c:formatCode>0</c:formatCode>
                <c:ptCount val="3"/>
                <c:pt idx="0">
                  <c:v>2017</c:v>
                </c:pt>
                <c:pt idx="1">
                  <c:v>2018</c:v>
                </c:pt>
                <c:pt idx="2">
                  <c:v>2019</c:v>
                </c:pt>
              </c:numCache>
            </c:numRef>
          </c:cat>
          <c:val>
            <c:numRef>
              <c:f>('Analyse rétrospective (2)'!$F$31,'Analyse rétrospective (2)'!$H$31,'Analyse rétrospective (2)'!$J$31)</c:f>
              <c:numCache>
                <c:formatCode>0%</c:formatCode>
                <c:ptCount val="3"/>
                <c:pt idx="0">
                  <c:v>0.3</c:v>
                </c:pt>
                <c:pt idx="1">
                  <c:v>0.3</c:v>
                </c:pt>
                <c:pt idx="2">
                  <c:v>0.3</c:v>
                </c:pt>
              </c:numCache>
            </c:numRef>
          </c:val>
          <c:extLst>
            <c:ext xmlns:c16="http://schemas.microsoft.com/office/drawing/2014/chart" uri="{C3380CC4-5D6E-409C-BE32-E72D297353CC}">
              <c16:uniqueId val="{00000001-F6E9-44F3-A3B2-7A1D58C088EF}"/>
            </c:ext>
          </c:extLst>
        </c:ser>
        <c:dLbls>
          <c:showLegendKey val="0"/>
          <c:showVal val="0"/>
          <c:showCatName val="0"/>
          <c:showSerName val="0"/>
          <c:showPercent val="0"/>
          <c:showBubbleSize val="0"/>
        </c:dLbls>
        <c:gapWidth val="150"/>
        <c:axId val="96756096"/>
        <c:axId val="96757632"/>
      </c:barChart>
      <c:catAx>
        <c:axId val="96756096"/>
        <c:scaling>
          <c:orientation val="minMax"/>
        </c:scaling>
        <c:delete val="0"/>
        <c:axPos val="b"/>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757632"/>
        <c:crosses val="autoZero"/>
        <c:auto val="1"/>
        <c:lblAlgn val="ctr"/>
        <c:lblOffset val="100"/>
        <c:noMultiLvlLbl val="0"/>
      </c:catAx>
      <c:valAx>
        <c:axId val="96757632"/>
        <c:scaling>
          <c:orientation val="minMax"/>
        </c:scaling>
        <c:delete val="0"/>
        <c:axPos val="l"/>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6756096"/>
        <c:crosses val="autoZero"/>
        <c:crossBetween val="between"/>
      </c:valAx>
    </c:plotArea>
    <c:legend>
      <c:legendPos val="r"/>
      <c:layout/>
      <c:overlay val="0"/>
      <c:txPr>
        <a:bodyPr/>
        <a:lstStyle/>
        <a:p>
          <a:pPr>
            <a:defRPr sz="64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xPr>
        <a:bodyPr/>
        <a:lstStyle/>
        <a:p>
          <a:pPr>
            <a:defRPr sz="1000" b="1" i="0" u="none" strike="noStrike" baseline="0">
              <a:solidFill>
                <a:srgbClr val="000000"/>
              </a:solidFill>
              <a:latin typeface="Calibri"/>
              <a:ea typeface="Calibri"/>
              <a:cs typeface="Calibri"/>
            </a:defRPr>
          </a:pPr>
          <a:endParaRPr lang="fr-FR"/>
        </a:p>
      </c:txPr>
    </c:title>
    <c:autoTitleDeleted val="0"/>
    <c:plotArea>
      <c:layout/>
      <c:barChart>
        <c:barDir val="col"/>
        <c:grouping val="clustered"/>
        <c:varyColors val="0"/>
        <c:ser>
          <c:idx val="0"/>
          <c:order val="0"/>
          <c:tx>
            <c:strRef>
              <c:f>'Analyse rétrospective (2)'!$B$54</c:f>
              <c:strCache>
                <c:ptCount val="1"/>
                <c:pt idx="0">
                  <c:v>Taux de vétusté des constructions</c:v>
                </c:pt>
              </c:strCache>
            </c:strRef>
          </c:tx>
          <c:invertIfNegative val="0"/>
          <c:cat>
            <c:numRef>
              <c:f>('Analyse rétrospective (2)'!$E$53,'Analyse rétrospective (2)'!$G$53,'Analyse rétrospective (2)'!$I$53)</c:f>
              <c:numCache>
                <c:formatCode>0</c:formatCode>
                <c:ptCount val="3"/>
                <c:pt idx="0">
                  <c:v>2017</c:v>
                </c:pt>
                <c:pt idx="1">
                  <c:v>2018</c:v>
                </c:pt>
                <c:pt idx="2">
                  <c:v>2019</c:v>
                </c:pt>
              </c:numCache>
            </c:numRef>
          </c:cat>
          <c:val>
            <c:numRef>
              <c:f>('Analyse rétrospective (2)'!$E$54,'Analyse rétrospective (2)'!$G$54,'Analyse rétrospective (2)'!$I$54)</c:f>
              <c:numCache>
                <c:formatCode>0%</c:formatCode>
                <c:ptCount val="3"/>
                <c:pt idx="0">
                  <c:v>0</c:v>
                </c:pt>
                <c:pt idx="1">
                  <c:v>0</c:v>
                </c:pt>
                <c:pt idx="2">
                  <c:v>0</c:v>
                </c:pt>
              </c:numCache>
            </c:numRef>
          </c:val>
          <c:extLst>
            <c:ext xmlns:c16="http://schemas.microsoft.com/office/drawing/2014/chart" uri="{C3380CC4-5D6E-409C-BE32-E72D297353CC}">
              <c16:uniqueId val="{00000000-CFED-4FE1-957D-026EDEA40371}"/>
            </c:ext>
          </c:extLst>
        </c:ser>
        <c:dLbls>
          <c:showLegendKey val="0"/>
          <c:showVal val="0"/>
          <c:showCatName val="0"/>
          <c:showSerName val="0"/>
          <c:showPercent val="0"/>
          <c:showBubbleSize val="0"/>
        </c:dLbls>
        <c:gapWidth val="150"/>
        <c:axId val="94644096"/>
        <c:axId val="94645632"/>
      </c:barChart>
      <c:catAx>
        <c:axId val="94644096"/>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645632"/>
        <c:crosses val="autoZero"/>
        <c:auto val="1"/>
        <c:lblAlgn val="ctr"/>
        <c:lblOffset val="100"/>
        <c:noMultiLvlLbl val="0"/>
      </c:catAx>
      <c:valAx>
        <c:axId val="9464563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94644096"/>
        <c:crosses val="autoZero"/>
        <c:crossBetween val="between"/>
      </c:valAx>
    </c:plotArea>
    <c:legend>
      <c:legendPos val="r"/>
      <c:legendEntry>
        <c:idx val="0"/>
        <c:txPr>
          <a:bodyPr/>
          <a:lstStyle/>
          <a:p>
            <a:pPr>
              <a:defRPr sz="640" b="0" i="0" u="none" strike="noStrike" baseline="0">
                <a:solidFill>
                  <a:srgbClr val="000000"/>
                </a:solidFill>
                <a:latin typeface="Calibri"/>
                <a:ea typeface="Calibri"/>
                <a:cs typeface="Calibri"/>
              </a:defRPr>
            </a:pPr>
            <a:endParaRPr lang="fr-FR"/>
          </a:p>
        </c:txPr>
      </c:legendEntry>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trlProps/ctrlProp1.xml><?xml version="1.0" encoding="utf-8"?>
<formControlPr xmlns="http://schemas.microsoft.com/office/spreadsheetml/2009/9/main" objectType="Radio" firstButton="1" fmlaLink="$P$1" noThreeD="1"/>
</file>

<file path=xl/ctrlProps/ctrlProp2.xml><?xml version="1.0" encoding="utf-8"?>
<formControlPr xmlns="http://schemas.microsoft.com/office/spreadsheetml/2009/9/main" objectType="Radio" checked="Checked" noThreeD="1"/>
</file>

<file path=xl/drawings/_rels/drawing1.xml.rels><?xml version="1.0" encoding="UTF-8" standalone="yes"?>
<Relationships xmlns="http://schemas.openxmlformats.org/package/2006/relationships"><Relationship Id="rId8" Type="http://schemas.openxmlformats.org/officeDocument/2006/relationships/hyperlink" Target="#'Analyse r&#233;trospective (2)'!A1"/><Relationship Id="rId13" Type="http://schemas.openxmlformats.org/officeDocument/2006/relationships/hyperlink" Target="#REX!A1"/><Relationship Id="rId3" Type="http://schemas.openxmlformats.org/officeDocument/2006/relationships/hyperlink" Target="#SIG!A1"/><Relationship Id="rId7" Type="http://schemas.openxmlformats.org/officeDocument/2006/relationships/hyperlink" Target="#'Plan pluriannuel de financement'!B2"/><Relationship Id="rId12" Type="http://schemas.openxmlformats.org/officeDocument/2006/relationships/hyperlink" Target="#'Cptes de r&#233;sultat pr&#233;visionnels'!B2"/><Relationship Id="rId2" Type="http://schemas.openxmlformats.org/officeDocument/2006/relationships/hyperlink" Target="#CAF!A1"/><Relationship Id="rId16" Type="http://schemas.openxmlformats.org/officeDocument/2006/relationships/image" Target="../media/image1.png"/><Relationship Id="rId1" Type="http://schemas.openxmlformats.org/officeDocument/2006/relationships/hyperlink" Target="#'Bilan financier'!A1"/><Relationship Id="rId6" Type="http://schemas.openxmlformats.org/officeDocument/2006/relationships/hyperlink" Target="#'Analyse prospective (1)'!A1"/><Relationship Id="rId11" Type="http://schemas.openxmlformats.org/officeDocument/2006/relationships/hyperlink" Target="#'AIDE-simulation emprunt'!C2"/><Relationship Id="rId5" Type="http://schemas.openxmlformats.org/officeDocument/2006/relationships/hyperlink" Target="#'Analyse r&#233;trospective (1)'!A1"/><Relationship Id="rId15" Type="http://schemas.openxmlformats.org/officeDocument/2006/relationships/hyperlink" Target="#'Ann7'!A1"/><Relationship Id="rId10" Type="http://schemas.openxmlformats.org/officeDocument/2006/relationships/hyperlink" Target="#'Analyse prospective (2)'!A1"/><Relationship Id="rId4" Type="http://schemas.openxmlformats.org/officeDocument/2006/relationships/hyperlink" Target="#PPI!A1"/><Relationship Id="rId9" Type="http://schemas.openxmlformats.org/officeDocument/2006/relationships/hyperlink" Target="#'Tableau surco&#251;ts exploitation'!B2"/><Relationship Id="rId14" Type="http://schemas.openxmlformats.org/officeDocument/2006/relationships/hyperlink" Target="#'Ann5'!A1"/></Relationships>
</file>

<file path=xl/drawings/_rels/drawing10.xml.rels><?xml version="1.0" encoding="UTF-8" standalone="yes"?>
<Relationships xmlns="http://schemas.openxmlformats.org/package/2006/relationships"><Relationship Id="rId2" Type="http://schemas.openxmlformats.org/officeDocument/2006/relationships/hyperlink" Target="#PPI!A1"/><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2" Type="http://schemas.openxmlformats.org/officeDocument/2006/relationships/hyperlink" Target="#'Tableau surco&#251;ts exploitation'!B2"/><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3" Type="http://schemas.openxmlformats.org/officeDocument/2006/relationships/hyperlink" Target="#'Analyse prospective (2)'!C7"/><Relationship Id="rId2" Type="http://schemas.openxmlformats.org/officeDocument/2006/relationships/hyperlink" Target="#'Analyse prospective (1)'!D2"/><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AIDE-Fiches indicateurs'!B646"/><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8" Type="http://schemas.openxmlformats.org/officeDocument/2006/relationships/hyperlink" Target="#'AIDE-Fiches indicateurs'!C4"/><Relationship Id="rId13" Type="http://schemas.openxmlformats.org/officeDocument/2006/relationships/hyperlink" Target="#'AIDE-Fiches indicateurs'!B308"/><Relationship Id="rId3" Type="http://schemas.openxmlformats.org/officeDocument/2006/relationships/hyperlink" Target="#'AIDE-Fiches indicateurs'!B125"/><Relationship Id="rId7" Type="http://schemas.openxmlformats.org/officeDocument/2006/relationships/image" Target="../media/image13.jpeg"/><Relationship Id="rId12" Type="http://schemas.openxmlformats.org/officeDocument/2006/relationships/hyperlink" Target="#'AIDE-Fiches indicateurs'!B338"/><Relationship Id="rId2" Type="http://schemas.openxmlformats.org/officeDocument/2006/relationships/image" Target="../media/image12.jpeg"/><Relationship Id="rId16" Type="http://schemas.openxmlformats.org/officeDocument/2006/relationships/image" Target="../media/image15.jpeg"/><Relationship Id="rId1" Type="http://schemas.openxmlformats.org/officeDocument/2006/relationships/hyperlink" Target="#'AIDE-Fiches indicateurs'!B90"/><Relationship Id="rId6" Type="http://schemas.openxmlformats.org/officeDocument/2006/relationships/hyperlink" Target="#'AIDE-Fiches indicateurs'!B66"/><Relationship Id="rId11" Type="http://schemas.openxmlformats.org/officeDocument/2006/relationships/hyperlink" Target="#'AIDE-Fiches indicateurs'!B362"/><Relationship Id="rId5" Type="http://schemas.openxmlformats.org/officeDocument/2006/relationships/image" Target="../media/image3.jpeg"/><Relationship Id="rId15" Type="http://schemas.openxmlformats.org/officeDocument/2006/relationships/hyperlink" Target="#'AIDE-Fiches indicateurs'!B221"/><Relationship Id="rId10" Type="http://schemas.openxmlformats.org/officeDocument/2006/relationships/hyperlink" Target="#'AIDE-Fiches indicateurs'!B611"/><Relationship Id="rId4" Type="http://schemas.openxmlformats.org/officeDocument/2006/relationships/hyperlink" Target="#'AIDE-Fiches indicateurs'!B164"/><Relationship Id="rId9" Type="http://schemas.openxmlformats.org/officeDocument/2006/relationships/image" Target="../media/image14.jpeg"/><Relationship Id="rId14" Type="http://schemas.openxmlformats.org/officeDocument/2006/relationships/hyperlink" Target="#'Analyse prospective (2)'!B2"/></Relationships>
</file>

<file path=xl/drawings/_rels/drawing16.xml.rels><?xml version="1.0" encoding="UTF-8" standalone="yes"?>
<Relationships xmlns="http://schemas.openxmlformats.org/package/2006/relationships"><Relationship Id="rId8" Type="http://schemas.openxmlformats.org/officeDocument/2006/relationships/hyperlink" Target="#MENU!A1"/><Relationship Id="rId13" Type="http://schemas.openxmlformats.org/officeDocument/2006/relationships/chart" Target="../charts/chart14.xml"/><Relationship Id="rId3" Type="http://schemas.openxmlformats.org/officeDocument/2006/relationships/hyperlink" Target="#'AIDE-Fiches indicateurs'!B125"/><Relationship Id="rId7" Type="http://schemas.openxmlformats.org/officeDocument/2006/relationships/chart" Target="../charts/chart12.xml"/><Relationship Id="rId12" Type="http://schemas.openxmlformats.org/officeDocument/2006/relationships/hyperlink" Target="#'AIDE-Fiches indicateurs'!B362"/><Relationship Id="rId2" Type="http://schemas.openxmlformats.org/officeDocument/2006/relationships/image" Target="../media/image11.png"/><Relationship Id="rId1" Type="http://schemas.openxmlformats.org/officeDocument/2006/relationships/hyperlink" Target="#'AIDE-Fiches indicateurs'!B90"/><Relationship Id="rId6" Type="http://schemas.openxmlformats.org/officeDocument/2006/relationships/hyperlink" Target="#'AIDE-Fiches indicateurs'!B66"/><Relationship Id="rId11" Type="http://schemas.openxmlformats.org/officeDocument/2006/relationships/hyperlink" Target="#'AIDE-Fiches indicateurs'!B338"/><Relationship Id="rId5" Type="http://schemas.openxmlformats.org/officeDocument/2006/relationships/hyperlink" Target="#'AIDE-Fiches indicateurs'!A1"/><Relationship Id="rId15" Type="http://schemas.openxmlformats.org/officeDocument/2006/relationships/hyperlink" Target="#'AIDE-Fiches indicateurs'!B221"/><Relationship Id="rId10" Type="http://schemas.openxmlformats.org/officeDocument/2006/relationships/chart" Target="../charts/chart13.xml"/><Relationship Id="rId4" Type="http://schemas.openxmlformats.org/officeDocument/2006/relationships/hyperlink" Target="#'AIDE-Fiches indicateurs'!B164"/><Relationship Id="rId9" Type="http://schemas.openxmlformats.org/officeDocument/2006/relationships/hyperlink" Target="#'AIDE-Fiches indicateurs'!B611"/><Relationship Id="rId14" Type="http://schemas.openxmlformats.org/officeDocument/2006/relationships/hyperlink" Target="#'AIDE-Fiches indicateurs'!B308"/></Relationships>
</file>

<file path=xl/drawings/_rels/drawing17.xml.rels><?xml version="1.0" encoding="UTF-8" standalone="yes"?>
<Relationships xmlns="http://schemas.openxmlformats.org/package/2006/relationships"><Relationship Id="rId1" Type="http://schemas.openxmlformats.org/officeDocument/2006/relationships/hyperlink" Target="#MENU!A1"/></Relationships>
</file>

<file path=xl/drawings/_rels/drawing18.xml.rels><?xml version="1.0" encoding="UTF-8" standalone="yes"?>
<Relationships xmlns="http://schemas.openxmlformats.org/package/2006/relationships"><Relationship Id="rId1" Type="http://schemas.openxmlformats.org/officeDocument/2006/relationships/hyperlink" Target="#MENU!A1"/></Relationships>
</file>

<file path=xl/drawings/_rels/drawing19.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8" Type="http://schemas.openxmlformats.org/officeDocument/2006/relationships/hyperlink" Target="#MENU!A1"/><Relationship Id="rId3" Type="http://schemas.openxmlformats.org/officeDocument/2006/relationships/hyperlink" Target="#'AIDE-Fiches indicateurs'!B66"/><Relationship Id="rId7" Type="http://schemas.openxmlformats.org/officeDocument/2006/relationships/hyperlink" Target="#CAF!A1"/><Relationship Id="rId2" Type="http://schemas.openxmlformats.org/officeDocument/2006/relationships/image" Target="../media/image2.png"/><Relationship Id="rId1" Type="http://schemas.openxmlformats.org/officeDocument/2006/relationships/hyperlink" Target="#'AIDE-Fiches indicateurs'!B90"/><Relationship Id="rId6" Type="http://schemas.openxmlformats.org/officeDocument/2006/relationships/hyperlink" Target="#'AIDE-Fiches indicateurs'!B164"/><Relationship Id="rId5" Type="http://schemas.openxmlformats.org/officeDocument/2006/relationships/hyperlink" Target="#'AIDE-Fiches indicateurs'!B125"/><Relationship Id="rId4" Type="http://schemas.openxmlformats.org/officeDocument/2006/relationships/hyperlink" Target="#'AIDE-Fiches indicateurs'!A1"/></Relationships>
</file>

<file path=xl/drawings/_rels/drawing4.xml.rels><?xml version="1.0" encoding="UTF-8" standalone="yes"?>
<Relationships xmlns="http://schemas.openxmlformats.org/package/2006/relationships"><Relationship Id="rId3" Type="http://schemas.openxmlformats.org/officeDocument/2006/relationships/hyperlink" Target="#'AIDE-Fiches indicateurs'!B388"/><Relationship Id="rId2" Type="http://schemas.openxmlformats.org/officeDocument/2006/relationships/hyperlink" Target="#MENU!A1"/><Relationship Id="rId1" Type="http://schemas.openxmlformats.org/officeDocument/2006/relationships/hyperlink" Target="#SIG!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8" Type="http://schemas.openxmlformats.org/officeDocument/2006/relationships/hyperlink" Target="#'AIDE-Fiches indicateurs'!B591"/><Relationship Id="rId3" Type="http://schemas.openxmlformats.org/officeDocument/2006/relationships/hyperlink" Target="#'AIDE-Fiches indicateurs'!B517"/><Relationship Id="rId7" Type="http://schemas.openxmlformats.org/officeDocument/2006/relationships/image" Target="../media/image5.jpeg"/><Relationship Id="rId2" Type="http://schemas.openxmlformats.org/officeDocument/2006/relationships/hyperlink" Target="#MENU!A1"/><Relationship Id="rId1" Type="http://schemas.openxmlformats.org/officeDocument/2006/relationships/hyperlink" Target="#'Analyse r&#233;trospective (1)'!C1"/><Relationship Id="rId6" Type="http://schemas.openxmlformats.org/officeDocument/2006/relationships/hyperlink" Target="#'AIDE-Fiches indicateurs'!B570"/><Relationship Id="rId11" Type="http://schemas.openxmlformats.org/officeDocument/2006/relationships/hyperlink" Target="#'AIDE-Fiches indicateurs'!B680"/><Relationship Id="rId5" Type="http://schemas.openxmlformats.org/officeDocument/2006/relationships/hyperlink" Target="#'AIDE-Fiches indicateurs'!B548"/><Relationship Id="rId10" Type="http://schemas.openxmlformats.org/officeDocument/2006/relationships/hyperlink" Target="#'Analyse r&#233;trospective (2)'!D2"/><Relationship Id="rId4" Type="http://schemas.openxmlformats.org/officeDocument/2006/relationships/image" Target="../media/image4.jpeg"/><Relationship Id="rId9" Type="http://schemas.openxmlformats.org/officeDocument/2006/relationships/hyperlink" Target="#'AIDE-Fiches indicateurs'!B611"/></Relationships>
</file>

<file path=xl/drawings/_rels/drawing6.xml.rels><?xml version="1.0" encoding="UTF-8" standalone="yes"?>
<Relationships xmlns="http://schemas.openxmlformats.org/package/2006/relationships"><Relationship Id="rId8" Type="http://schemas.openxmlformats.org/officeDocument/2006/relationships/hyperlink" Target="#'AIDE-Fiches indicateurs'!B164"/><Relationship Id="rId13" Type="http://schemas.openxmlformats.org/officeDocument/2006/relationships/hyperlink" Target="#'AIDE-Fiches indicateurs'!B205"/><Relationship Id="rId18" Type="http://schemas.openxmlformats.org/officeDocument/2006/relationships/hyperlink" Target="#'AIDE-Fiches indicateurs'!B517"/><Relationship Id="rId26" Type="http://schemas.openxmlformats.org/officeDocument/2006/relationships/image" Target="../media/image10.jpeg"/><Relationship Id="rId3" Type="http://schemas.openxmlformats.org/officeDocument/2006/relationships/hyperlink" Target="#'AIDE-Fiches indicateurs'!B253"/><Relationship Id="rId21" Type="http://schemas.openxmlformats.org/officeDocument/2006/relationships/hyperlink" Target="#'AIDE-Fiches indicateurs'!B591"/><Relationship Id="rId7" Type="http://schemas.openxmlformats.org/officeDocument/2006/relationships/image" Target="../media/image8.jpeg"/><Relationship Id="rId12" Type="http://schemas.openxmlformats.org/officeDocument/2006/relationships/hyperlink" Target="#'AIDE-Fiches indicateurs'!A1"/><Relationship Id="rId17" Type="http://schemas.openxmlformats.org/officeDocument/2006/relationships/hyperlink" Target="#'AIDE-Fiches indicateurs'!B418"/><Relationship Id="rId25" Type="http://schemas.openxmlformats.org/officeDocument/2006/relationships/hyperlink" Target="#'AIDE-Fiches indicateurs'!B43"/><Relationship Id="rId2" Type="http://schemas.openxmlformats.org/officeDocument/2006/relationships/image" Target="../media/image6.jpeg"/><Relationship Id="rId16" Type="http://schemas.openxmlformats.org/officeDocument/2006/relationships/hyperlink" Target="#'AIDE-Fiches indicateurs'!B388"/><Relationship Id="rId20" Type="http://schemas.openxmlformats.org/officeDocument/2006/relationships/hyperlink" Target="#'AIDE-Fiches indicateurs'!B570"/><Relationship Id="rId29" Type="http://schemas.openxmlformats.org/officeDocument/2006/relationships/hyperlink" Target="#'AIDE-Fiches indicateurs'!B362"/><Relationship Id="rId1" Type="http://schemas.openxmlformats.org/officeDocument/2006/relationships/hyperlink" Target="#'AIDE-Fiches indicateurs'!B221"/><Relationship Id="rId6" Type="http://schemas.openxmlformats.org/officeDocument/2006/relationships/hyperlink" Target="#'AIDE-Fiches indicateurs'!B125"/><Relationship Id="rId11" Type="http://schemas.openxmlformats.org/officeDocument/2006/relationships/hyperlink" Target="#'AIDE-Fiches indicateurs'!B66"/><Relationship Id="rId24" Type="http://schemas.openxmlformats.org/officeDocument/2006/relationships/hyperlink" Target="#MENU!A1"/><Relationship Id="rId5" Type="http://schemas.openxmlformats.org/officeDocument/2006/relationships/hyperlink" Target="#'AIDE-Fiches indicateurs'!B90"/><Relationship Id="rId15" Type="http://schemas.openxmlformats.org/officeDocument/2006/relationships/hyperlink" Target="#'AIDE-Fiches indicateurs'!B284"/><Relationship Id="rId23" Type="http://schemas.openxmlformats.org/officeDocument/2006/relationships/hyperlink" Target="#'Analyse r&#233;trospective (2)'!C1"/><Relationship Id="rId28" Type="http://schemas.openxmlformats.org/officeDocument/2006/relationships/hyperlink" Target="#'AIDE-Fiches indicateurs'!B338"/><Relationship Id="rId10" Type="http://schemas.openxmlformats.org/officeDocument/2006/relationships/hyperlink" Target="#'AIDE-Fiches indicateurs'!B495"/><Relationship Id="rId19" Type="http://schemas.openxmlformats.org/officeDocument/2006/relationships/hyperlink" Target="#'AIDE-Fiches indicateurs'!B548"/><Relationship Id="rId4" Type="http://schemas.openxmlformats.org/officeDocument/2006/relationships/image" Target="../media/image7.jpeg"/><Relationship Id="rId9" Type="http://schemas.openxmlformats.org/officeDocument/2006/relationships/hyperlink" Target="#'AIDE-Fiches indicateurs'!B459"/><Relationship Id="rId14" Type="http://schemas.openxmlformats.org/officeDocument/2006/relationships/image" Target="../media/image9.jpeg"/><Relationship Id="rId22" Type="http://schemas.openxmlformats.org/officeDocument/2006/relationships/hyperlink" Target="#'AIDE-Fiches indicateurs'!B611"/><Relationship Id="rId27" Type="http://schemas.openxmlformats.org/officeDocument/2006/relationships/hyperlink" Target="#'AIDE-Fiches indicateurs'!C305"/></Relationships>
</file>

<file path=xl/drawings/_rels/drawing7.xml.rels><?xml version="1.0" encoding="UTF-8" standalone="yes"?>
<Relationships xmlns="http://schemas.openxmlformats.org/package/2006/relationships"><Relationship Id="rId8" Type="http://schemas.openxmlformats.org/officeDocument/2006/relationships/hyperlink" Target="#'AIDE-Fiches indicateurs'!B459"/><Relationship Id="rId13" Type="http://schemas.openxmlformats.org/officeDocument/2006/relationships/hyperlink" Target="#'AIDE-Fiches indicateurs'!B388"/><Relationship Id="rId18" Type="http://schemas.openxmlformats.org/officeDocument/2006/relationships/chart" Target="../charts/chart4.xml"/><Relationship Id="rId26" Type="http://schemas.openxmlformats.org/officeDocument/2006/relationships/hyperlink" Target="#'AIDE-Fiches indicateurs'!B362"/><Relationship Id="rId3" Type="http://schemas.openxmlformats.org/officeDocument/2006/relationships/hyperlink" Target="#'AIDE-Fiches indicateurs'!B125"/><Relationship Id="rId21" Type="http://schemas.openxmlformats.org/officeDocument/2006/relationships/chart" Target="../charts/chart7.xml"/><Relationship Id="rId7" Type="http://schemas.openxmlformats.org/officeDocument/2006/relationships/hyperlink" Target="#'AIDE-Fiches indicateurs'!B284"/><Relationship Id="rId12" Type="http://schemas.openxmlformats.org/officeDocument/2006/relationships/chart" Target="../charts/chart1.xml"/><Relationship Id="rId17" Type="http://schemas.openxmlformats.org/officeDocument/2006/relationships/chart" Target="../charts/chart3.xml"/><Relationship Id="rId25" Type="http://schemas.openxmlformats.org/officeDocument/2006/relationships/hyperlink" Target="#'AIDE-Fiches indicateurs'!B338"/><Relationship Id="rId2" Type="http://schemas.openxmlformats.org/officeDocument/2006/relationships/image" Target="../media/image11.png"/><Relationship Id="rId16" Type="http://schemas.openxmlformats.org/officeDocument/2006/relationships/hyperlink" Target="#MENU!A1"/><Relationship Id="rId20" Type="http://schemas.openxmlformats.org/officeDocument/2006/relationships/chart" Target="../charts/chart6.xml"/><Relationship Id="rId29" Type="http://schemas.openxmlformats.org/officeDocument/2006/relationships/hyperlink" Target="#'AIDE-Fiches indicateurs'!B308"/><Relationship Id="rId1" Type="http://schemas.openxmlformats.org/officeDocument/2006/relationships/hyperlink" Target="#'AIDE-Fiches indicateurs'!B90"/><Relationship Id="rId6" Type="http://schemas.openxmlformats.org/officeDocument/2006/relationships/hyperlink" Target="#'AIDE-Fiches indicateurs'!B253"/><Relationship Id="rId11" Type="http://schemas.openxmlformats.org/officeDocument/2006/relationships/hyperlink" Target="#'AIDE-Fiches indicateurs'!B66"/><Relationship Id="rId24" Type="http://schemas.openxmlformats.org/officeDocument/2006/relationships/hyperlink" Target="#PPI!C1"/><Relationship Id="rId5" Type="http://schemas.openxmlformats.org/officeDocument/2006/relationships/hyperlink" Target="#'AIDE-Fiches indicateurs'!B221"/><Relationship Id="rId15" Type="http://schemas.openxmlformats.org/officeDocument/2006/relationships/chart" Target="../charts/chart2.xml"/><Relationship Id="rId23" Type="http://schemas.openxmlformats.org/officeDocument/2006/relationships/hyperlink" Target="#'AIDE-Fiches indicateurs'!B43"/><Relationship Id="rId28" Type="http://schemas.openxmlformats.org/officeDocument/2006/relationships/chart" Target="../charts/chart10.xml"/><Relationship Id="rId10" Type="http://schemas.openxmlformats.org/officeDocument/2006/relationships/hyperlink" Target="#'AIDE-Fiches indicateurs'!A1"/><Relationship Id="rId19" Type="http://schemas.openxmlformats.org/officeDocument/2006/relationships/chart" Target="../charts/chart5.xml"/><Relationship Id="rId4" Type="http://schemas.openxmlformats.org/officeDocument/2006/relationships/hyperlink" Target="#'AIDE-Fiches indicateurs'!B164"/><Relationship Id="rId9" Type="http://schemas.openxmlformats.org/officeDocument/2006/relationships/hyperlink" Target="#'AIDE-Fiches indicateurs'!B495"/><Relationship Id="rId14" Type="http://schemas.openxmlformats.org/officeDocument/2006/relationships/hyperlink" Target="#'AIDE-Fiches indicateurs'!B418"/><Relationship Id="rId22" Type="http://schemas.openxmlformats.org/officeDocument/2006/relationships/chart" Target="../charts/chart8.xml"/><Relationship Id="rId27" Type="http://schemas.openxmlformats.org/officeDocument/2006/relationships/chart" Target="../charts/chart9.xml"/><Relationship Id="rId30"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Plan pluriannuel de financement'!B2"/><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2</xdr:col>
      <xdr:colOff>9527</xdr:colOff>
      <xdr:row>42</xdr:row>
      <xdr:rowOff>10585</xdr:rowOff>
    </xdr:from>
    <xdr:to>
      <xdr:col>4</xdr:col>
      <xdr:colOff>623927</xdr:colOff>
      <xdr:row>43</xdr:row>
      <xdr:rowOff>148168</xdr:rowOff>
    </xdr:to>
    <xdr:sp macro="" textlink="">
      <xdr:nvSpPr>
        <xdr:cNvPr id="2" name="Rectangle à coins arrondis 1">
          <a:hlinkClick xmlns:r="http://schemas.openxmlformats.org/officeDocument/2006/relationships" r:id="rId1" tooltip="Analyse rétrospective - Bilan financier"/>
        </xdr:cNvPr>
        <xdr:cNvSpPr/>
      </xdr:nvSpPr>
      <xdr:spPr>
        <a:xfrm>
          <a:off x="1152527" y="5458885"/>
          <a:ext cx="2138400" cy="328083"/>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1) </a:t>
          </a:r>
          <a:r>
            <a:rPr lang="fr-FR" sz="1000">
              <a:latin typeface="Century Gothic" pitchFamily="34" charset="0"/>
            </a:rPr>
            <a:t>Compléter</a:t>
          </a:r>
          <a:r>
            <a:rPr lang="fr-FR" sz="1000" baseline="0">
              <a:latin typeface="Century Gothic" pitchFamily="34" charset="0"/>
            </a:rPr>
            <a:t> le </a:t>
          </a:r>
          <a:r>
            <a:rPr lang="fr-FR" sz="1000" b="1" baseline="0">
              <a:solidFill>
                <a:sysClr val="windowText" lastClr="000000"/>
              </a:solidFill>
              <a:latin typeface="Century Gothic" pitchFamily="34" charset="0"/>
            </a:rPr>
            <a:t>Bilan financier</a:t>
          </a:r>
          <a:endParaRPr lang="fr-FR" sz="1000" b="1">
            <a:solidFill>
              <a:sysClr val="windowText" lastClr="000000"/>
            </a:solidFill>
            <a:latin typeface="Century Gothic" pitchFamily="34" charset="0"/>
          </a:endParaRPr>
        </a:p>
      </xdr:txBody>
    </xdr:sp>
    <xdr:clientData/>
  </xdr:twoCellAnchor>
  <xdr:twoCellAnchor>
    <xdr:from>
      <xdr:col>2</xdr:col>
      <xdr:colOff>4232</xdr:colOff>
      <xdr:row>44</xdr:row>
      <xdr:rowOff>62442</xdr:rowOff>
    </xdr:from>
    <xdr:to>
      <xdr:col>4</xdr:col>
      <xdr:colOff>619125</xdr:colOff>
      <xdr:row>46</xdr:row>
      <xdr:rowOff>9042</xdr:rowOff>
    </xdr:to>
    <xdr:sp macro="" textlink="">
      <xdr:nvSpPr>
        <xdr:cNvPr id="3" name="Rectangle à coins arrondis 2">
          <a:hlinkClick xmlns:r="http://schemas.openxmlformats.org/officeDocument/2006/relationships" r:id="rId2" tooltip="Analyse rétrospective - Capacité d'AutoFinancement"/>
        </xdr:cNvPr>
        <xdr:cNvSpPr/>
      </xdr:nvSpPr>
      <xdr:spPr>
        <a:xfrm>
          <a:off x="1147232" y="5891742"/>
          <a:ext cx="2138893" cy="3276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2)</a:t>
          </a:r>
          <a:r>
            <a:rPr lang="fr-FR" sz="1000" b="1" baseline="0">
              <a:latin typeface="Century Gothic" pitchFamily="34" charset="0"/>
            </a:rPr>
            <a:t> </a:t>
          </a:r>
          <a:r>
            <a:rPr lang="fr-FR" sz="1000" b="0" baseline="0">
              <a:latin typeface="Century Gothic" pitchFamily="34" charset="0"/>
            </a:rPr>
            <a:t>Calculer la </a:t>
          </a:r>
          <a:r>
            <a:rPr lang="fr-FR" sz="1000" b="1" baseline="0">
              <a:solidFill>
                <a:sysClr val="windowText" lastClr="000000"/>
              </a:solidFill>
              <a:latin typeface="Century Gothic" pitchFamily="34" charset="0"/>
            </a:rPr>
            <a:t>CAF</a:t>
          </a:r>
          <a:endParaRPr lang="fr-FR" sz="1000" b="1">
            <a:solidFill>
              <a:sysClr val="windowText" lastClr="000000"/>
            </a:solidFill>
            <a:latin typeface="Century Gothic" pitchFamily="34" charset="0"/>
          </a:endParaRPr>
        </a:p>
      </xdr:txBody>
    </xdr:sp>
    <xdr:clientData/>
  </xdr:twoCellAnchor>
  <xdr:twoCellAnchor>
    <xdr:from>
      <xdr:col>2</xdr:col>
      <xdr:colOff>1</xdr:colOff>
      <xdr:row>46</xdr:row>
      <xdr:rowOff>103716</xdr:rowOff>
    </xdr:from>
    <xdr:to>
      <xdr:col>4</xdr:col>
      <xdr:colOff>613834</xdr:colOff>
      <xdr:row>48</xdr:row>
      <xdr:rowOff>50316</xdr:rowOff>
    </xdr:to>
    <xdr:sp macro="" textlink="">
      <xdr:nvSpPr>
        <xdr:cNvPr id="4" name="Rectangle à coins arrondis 3">
          <a:hlinkClick xmlns:r="http://schemas.openxmlformats.org/officeDocument/2006/relationships" r:id="rId3" tooltip="Analyse rétrospective - Soldes Intermédiaires de Gestion"/>
        </xdr:cNvPr>
        <xdr:cNvSpPr/>
      </xdr:nvSpPr>
      <xdr:spPr>
        <a:xfrm>
          <a:off x="1143001" y="6314016"/>
          <a:ext cx="2137833" cy="3276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3)</a:t>
          </a:r>
          <a:r>
            <a:rPr lang="fr-FR" sz="1000" b="1" baseline="0">
              <a:latin typeface="Century Gothic" pitchFamily="34" charset="0"/>
            </a:rPr>
            <a:t> </a:t>
          </a:r>
          <a:r>
            <a:rPr lang="fr-FR" sz="1000" b="0" baseline="0">
              <a:latin typeface="Century Gothic" pitchFamily="34" charset="0"/>
            </a:rPr>
            <a:t>Calculer les </a:t>
          </a:r>
          <a:r>
            <a:rPr lang="fr-FR" sz="1000" b="1" baseline="0">
              <a:solidFill>
                <a:sysClr val="windowText" lastClr="000000"/>
              </a:solidFill>
              <a:latin typeface="Century Gothic" pitchFamily="34" charset="0"/>
            </a:rPr>
            <a:t>SIG</a:t>
          </a:r>
          <a:endParaRPr lang="fr-FR" sz="1000" b="1">
            <a:solidFill>
              <a:sysClr val="windowText" lastClr="000000"/>
            </a:solidFill>
            <a:latin typeface="Century Gothic" pitchFamily="34" charset="0"/>
          </a:endParaRPr>
        </a:p>
      </xdr:txBody>
    </xdr:sp>
    <xdr:clientData/>
  </xdr:twoCellAnchor>
  <xdr:twoCellAnchor>
    <xdr:from>
      <xdr:col>7</xdr:col>
      <xdr:colOff>0</xdr:colOff>
      <xdr:row>42</xdr:row>
      <xdr:rowOff>1058</xdr:rowOff>
    </xdr:from>
    <xdr:to>
      <xdr:col>10</xdr:col>
      <xdr:colOff>503767</xdr:colOff>
      <xdr:row>44</xdr:row>
      <xdr:rowOff>116858</xdr:rowOff>
    </xdr:to>
    <xdr:sp macro="" textlink="">
      <xdr:nvSpPr>
        <xdr:cNvPr id="5" name="Rectangle à coins arrondis 4">
          <a:hlinkClick xmlns:r="http://schemas.openxmlformats.org/officeDocument/2006/relationships" r:id="rId4" tooltip="Analyse prospective - Programme Pluriannuel d'Investissement"/>
        </xdr:cNvPr>
        <xdr:cNvSpPr/>
      </xdr:nvSpPr>
      <xdr:spPr>
        <a:xfrm>
          <a:off x="4953000" y="5706533"/>
          <a:ext cx="2789767" cy="4968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1) </a:t>
          </a:r>
          <a:r>
            <a:rPr lang="fr-FR" sz="1000">
              <a:latin typeface="Century Gothic" pitchFamily="34" charset="0"/>
            </a:rPr>
            <a:t>Compléter</a:t>
          </a:r>
          <a:r>
            <a:rPr lang="fr-FR" sz="1000" baseline="0">
              <a:latin typeface="Century Gothic" pitchFamily="34" charset="0"/>
            </a:rPr>
            <a:t> le </a:t>
          </a:r>
          <a:r>
            <a:rPr lang="fr-FR" sz="1000" b="1" baseline="0">
              <a:solidFill>
                <a:sysClr val="windowText" lastClr="000000"/>
              </a:solidFill>
              <a:latin typeface="Century Gothic" pitchFamily="34" charset="0"/>
            </a:rPr>
            <a:t>Programme Pluriannuel d'Investissement - PPI</a:t>
          </a:r>
          <a:endParaRPr lang="fr-FR" sz="1000" b="1">
            <a:solidFill>
              <a:sysClr val="windowText" lastClr="000000"/>
            </a:solidFill>
            <a:latin typeface="Century Gothic" pitchFamily="34" charset="0"/>
          </a:endParaRPr>
        </a:p>
      </xdr:txBody>
    </xdr:sp>
    <xdr:clientData/>
  </xdr:twoCellAnchor>
  <xdr:twoCellAnchor>
    <xdr:from>
      <xdr:col>2</xdr:col>
      <xdr:colOff>0</xdr:colOff>
      <xdr:row>48</xdr:row>
      <xdr:rowOff>156633</xdr:rowOff>
    </xdr:from>
    <xdr:to>
      <xdr:col>4</xdr:col>
      <xdr:colOff>613833</xdr:colOff>
      <xdr:row>51</xdr:row>
      <xdr:rowOff>123825</xdr:rowOff>
    </xdr:to>
    <xdr:sp macro="" textlink="">
      <xdr:nvSpPr>
        <xdr:cNvPr id="6" name="Rectangle à coins arrondis 5">
          <a:hlinkClick xmlns:r="http://schemas.openxmlformats.org/officeDocument/2006/relationships" r:id="rId5" tooltip="Analyse rétrospective - Restitutions (1)"/>
        </xdr:cNvPr>
        <xdr:cNvSpPr/>
      </xdr:nvSpPr>
      <xdr:spPr>
        <a:xfrm>
          <a:off x="1143000" y="7005108"/>
          <a:ext cx="2137833" cy="538692"/>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4) Accéder aux indicateurs  </a:t>
          </a:r>
          <a:r>
            <a:rPr lang="fr-FR" sz="1000" b="1" baseline="0">
              <a:solidFill>
                <a:sysClr val="windowText" lastClr="000000"/>
              </a:solidFill>
              <a:latin typeface="Century Gothic" pitchFamily="34" charset="0"/>
            </a:rPr>
            <a:t>Restitutions (1)</a:t>
          </a:r>
          <a:endParaRPr lang="fr-FR" sz="1000" b="1">
            <a:solidFill>
              <a:sysClr val="windowText" lastClr="000000"/>
            </a:solidFill>
            <a:latin typeface="Century Gothic" pitchFamily="34" charset="0"/>
          </a:endParaRPr>
        </a:p>
      </xdr:txBody>
    </xdr:sp>
    <xdr:clientData/>
  </xdr:twoCellAnchor>
  <xdr:twoCellAnchor>
    <xdr:from>
      <xdr:col>6</xdr:col>
      <xdr:colOff>752474</xdr:colOff>
      <xdr:row>57</xdr:row>
      <xdr:rowOff>186267</xdr:rowOff>
    </xdr:from>
    <xdr:to>
      <xdr:col>10</xdr:col>
      <xdr:colOff>495224</xdr:colOff>
      <xdr:row>60</xdr:row>
      <xdr:rowOff>104775</xdr:rowOff>
    </xdr:to>
    <xdr:sp macro="" textlink="">
      <xdr:nvSpPr>
        <xdr:cNvPr id="7" name="Rectangle à coins arrondis 6">
          <a:hlinkClick xmlns:r="http://schemas.openxmlformats.org/officeDocument/2006/relationships" r:id="rId6" tooltip="Analyse prospective - Restitutions (1)"/>
        </xdr:cNvPr>
        <xdr:cNvSpPr/>
      </xdr:nvSpPr>
      <xdr:spPr>
        <a:xfrm>
          <a:off x="4943474" y="10035117"/>
          <a:ext cx="2790750" cy="490008"/>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6) Accéder aux indicateurs</a:t>
          </a:r>
        </a:p>
        <a:p>
          <a:pPr algn="l"/>
          <a:r>
            <a:rPr lang="fr-FR" sz="1000" b="1" baseline="0">
              <a:solidFill>
                <a:sysClr val="windowText" lastClr="000000"/>
              </a:solidFill>
              <a:latin typeface="Century Gothic" pitchFamily="34" charset="0"/>
            </a:rPr>
            <a:t>Restitutions (1)</a:t>
          </a:r>
          <a:endParaRPr lang="fr-FR" sz="1000" b="1">
            <a:solidFill>
              <a:sysClr val="windowText" lastClr="000000"/>
            </a:solidFill>
            <a:latin typeface="Century Gothic" pitchFamily="34" charset="0"/>
          </a:endParaRPr>
        </a:p>
      </xdr:txBody>
    </xdr:sp>
    <xdr:clientData/>
  </xdr:twoCellAnchor>
  <xdr:twoCellAnchor>
    <xdr:from>
      <xdr:col>7</xdr:col>
      <xdr:colOff>0</xdr:colOff>
      <xdr:row>45</xdr:row>
      <xdr:rowOff>28575</xdr:rowOff>
    </xdr:from>
    <xdr:to>
      <xdr:col>10</xdr:col>
      <xdr:colOff>503767</xdr:colOff>
      <xdr:row>47</xdr:row>
      <xdr:rowOff>142875</xdr:rowOff>
    </xdr:to>
    <xdr:sp macro="" textlink="">
      <xdr:nvSpPr>
        <xdr:cNvPr id="9" name="Rectangle à coins arrondis 8">
          <a:hlinkClick xmlns:r="http://schemas.openxmlformats.org/officeDocument/2006/relationships" r:id="rId7" tooltip="Analyse prospective - Plan Pluriannuel de Financement"/>
        </xdr:cNvPr>
        <xdr:cNvSpPr/>
      </xdr:nvSpPr>
      <xdr:spPr>
        <a:xfrm>
          <a:off x="4953000" y="6305550"/>
          <a:ext cx="2789767" cy="4953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2) </a:t>
          </a:r>
          <a:r>
            <a:rPr lang="fr-FR" sz="1000">
              <a:latin typeface="Century Gothic" pitchFamily="34" charset="0"/>
            </a:rPr>
            <a:t>Compléter</a:t>
          </a:r>
          <a:r>
            <a:rPr lang="fr-FR" sz="1000" baseline="0">
              <a:latin typeface="Century Gothic" pitchFamily="34" charset="0"/>
            </a:rPr>
            <a:t> le </a:t>
          </a:r>
          <a:r>
            <a:rPr lang="fr-FR" sz="1000" b="1" baseline="0">
              <a:solidFill>
                <a:sysClr val="windowText" lastClr="000000"/>
              </a:solidFill>
              <a:latin typeface="Century Gothic" pitchFamily="34" charset="0"/>
            </a:rPr>
            <a:t>Plan Pluriannuel de Financement</a:t>
          </a:r>
          <a:endParaRPr lang="fr-FR" sz="1000" b="1">
            <a:solidFill>
              <a:sysClr val="windowText" lastClr="000000"/>
            </a:solidFill>
            <a:latin typeface="Century Gothic" pitchFamily="34" charset="0"/>
          </a:endParaRPr>
        </a:p>
      </xdr:txBody>
    </xdr:sp>
    <xdr:clientData/>
  </xdr:twoCellAnchor>
  <xdr:twoCellAnchor>
    <xdr:from>
      <xdr:col>2</xdr:col>
      <xdr:colOff>0</xdr:colOff>
      <xdr:row>52</xdr:row>
      <xdr:rowOff>28575</xdr:rowOff>
    </xdr:from>
    <xdr:to>
      <xdr:col>4</xdr:col>
      <xdr:colOff>613833</xdr:colOff>
      <xdr:row>55</xdr:row>
      <xdr:rowOff>43392</xdr:rowOff>
    </xdr:to>
    <xdr:sp macro="" textlink="">
      <xdr:nvSpPr>
        <xdr:cNvPr id="10" name="Rectangle à coins arrondis 9">
          <a:hlinkClick xmlns:r="http://schemas.openxmlformats.org/officeDocument/2006/relationships" r:id="rId8" tooltip="Analyse rétrospective - Restitutions (2)"/>
        </xdr:cNvPr>
        <xdr:cNvSpPr/>
      </xdr:nvSpPr>
      <xdr:spPr>
        <a:xfrm>
          <a:off x="1143000" y="7639050"/>
          <a:ext cx="2137833" cy="538692"/>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5) Accéder aux indicateurs  </a:t>
          </a:r>
          <a:r>
            <a:rPr lang="fr-FR" sz="1000" b="1" baseline="0">
              <a:solidFill>
                <a:sysClr val="windowText" lastClr="000000"/>
              </a:solidFill>
              <a:latin typeface="Century Gothic" pitchFamily="34" charset="0"/>
            </a:rPr>
            <a:t>Restitutions (2)</a:t>
          </a:r>
          <a:endParaRPr lang="fr-FR" sz="1000" b="1">
            <a:solidFill>
              <a:sysClr val="windowText" lastClr="000000"/>
            </a:solidFill>
            <a:latin typeface="Century Gothic" pitchFamily="34" charset="0"/>
          </a:endParaRPr>
        </a:p>
      </xdr:txBody>
    </xdr:sp>
    <xdr:clientData/>
  </xdr:twoCellAnchor>
  <xdr:twoCellAnchor>
    <xdr:from>
      <xdr:col>7</xdr:col>
      <xdr:colOff>0</xdr:colOff>
      <xdr:row>51</xdr:row>
      <xdr:rowOff>76200</xdr:rowOff>
    </xdr:from>
    <xdr:to>
      <xdr:col>10</xdr:col>
      <xdr:colOff>503767</xdr:colOff>
      <xdr:row>54</xdr:row>
      <xdr:rowOff>47625</xdr:rowOff>
    </xdr:to>
    <xdr:sp macro="" textlink="">
      <xdr:nvSpPr>
        <xdr:cNvPr id="11" name="Rectangle à coins arrondis 10">
          <a:hlinkClick xmlns:r="http://schemas.openxmlformats.org/officeDocument/2006/relationships" r:id="rId9" tooltip="Analyse prospective- Tableau de surcoûts d'exploitation"/>
        </xdr:cNvPr>
        <xdr:cNvSpPr/>
      </xdr:nvSpPr>
      <xdr:spPr>
        <a:xfrm>
          <a:off x="4953000" y="8829675"/>
          <a:ext cx="2789767" cy="4953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4) </a:t>
          </a:r>
          <a:r>
            <a:rPr lang="fr-FR" sz="1000">
              <a:latin typeface="Century Gothic" pitchFamily="34" charset="0"/>
            </a:rPr>
            <a:t>Compléter</a:t>
          </a:r>
          <a:r>
            <a:rPr lang="fr-FR" sz="1000" baseline="0">
              <a:latin typeface="Century Gothic" pitchFamily="34" charset="0"/>
            </a:rPr>
            <a:t> le </a:t>
          </a:r>
          <a:r>
            <a:rPr lang="fr-FR" sz="1000" b="1" baseline="0">
              <a:solidFill>
                <a:sysClr val="windowText" lastClr="000000"/>
              </a:solidFill>
              <a:latin typeface="Century Gothic" pitchFamily="34" charset="0"/>
            </a:rPr>
            <a:t>Tableau de surcoûts d'exploitation</a:t>
          </a:r>
          <a:endParaRPr lang="fr-FR" sz="1000" b="1">
            <a:solidFill>
              <a:sysClr val="windowText" lastClr="000000"/>
            </a:solidFill>
            <a:latin typeface="Century Gothic" pitchFamily="34" charset="0"/>
          </a:endParaRPr>
        </a:p>
      </xdr:txBody>
    </xdr:sp>
    <xdr:clientData/>
  </xdr:twoCellAnchor>
  <xdr:twoCellAnchor>
    <xdr:from>
      <xdr:col>7</xdr:col>
      <xdr:colOff>0</xdr:colOff>
      <xdr:row>60</xdr:row>
      <xdr:rowOff>161925</xdr:rowOff>
    </xdr:from>
    <xdr:to>
      <xdr:col>10</xdr:col>
      <xdr:colOff>504750</xdr:colOff>
      <xdr:row>63</xdr:row>
      <xdr:rowOff>133350</xdr:rowOff>
    </xdr:to>
    <xdr:sp macro="" textlink="">
      <xdr:nvSpPr>
        <xdr:cNvPr id="12" name="Rectangle à coins arrondis 11">
          <a:hlinkClick xmlns:r="http://schemas.openxmlformats.org/officeDocument/2006/relationships" r:id="rId10" tooltip="Analyse prospective - Restitutions (2)"/>
        </xdr:cNvPr>
        <xdr:cNvSpPr/>
      </xdr:nvSpPr>
      <xdr:spPr>
        <a:xfrm>
          <a:off x="4953000" y="10582275"/>
          <a:ext cx="2790750" cy="54292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7) Accéder aux indicateurs</a:t>
          </a:r>
        </a:p>
        <a:p>
          <a:pPr algn="l"/>
          <a:r>
            <a:rPr lang="fr-FR" sz="1000" b="1" baseline="0">
              <a:solidFill>
                <a:sysClr val="windowText" lastClr="000000"/>
              </a:solidFill>
              <a:latin typeface="Century Gothic" pitchFamily="34" charset="0"/>
            </a:rPr>
            <a:t>Restitutions (2)</a:t>
          </a:r>
          <a:endParaRPr lang="fr-FR" sz="1000" b="1">
            <a:solidFill>
              <a:sysClr val="windowText" lastClr="000000"/>
            </a:solidFill>
            <a:latin typeface="Century Gothic" pitchFamily="34" charset="0"/>
          </a:endParaRPr>
        </a:p>
      </xdr:txBody>
    </xdr:sp>
    <xdr:clientData/>
  </xdr:twoCellAnchor>
  <xdr:twoCellAnchor>
    <xdr:from>
      <xdr:col>6</xdr:col>
      <xdr:colOff>752475</xdr:colOff>
      <xdr:row>54</xdr:row>
      <xdr:rowOff>161925</xdr:rowOff>
    </xdr:from>
    <xdr:to>
      <xdr:col>10</xdr:col>
      <xdr:colOff>495225</xdr:colOff>
      <xdr:row>57</xdr:row>
      <xdr:rowOff>80433</xdr:rowOff>
    </xdr:to>
    <xdr:sp macro="" textlink="">
      <xdr:nvSpPr>
        <xdr:cNvPr id="13" name="Rectangle à coins arrondis 12">
          <a:hlinkClick xmlns:r="http://schemas.openxmlformats.org/officeDocument/2006/relationships" r:id="rId11" tooltip="Analyse prospective - Simuler un emprunt"/>
        </xdr:cNvPr>
        <xdr:cNvSpPr/>
      </xdr:nvSpPr>
      <xdr:spPr>
        <a:xfrm>
          <a:off x="4943475" y="9439275"/>
          <a:ext cx="2790750" cy="490008"/>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5) </a:t>
          </a:r>
          <a:r>
            <a:rPr lang="fr-FR" sz="1000" b="0" baseline="0">
              <a:latin typeface="Century Gothic" pitchFamily="34" charset="0"/>
            </a:rPr>
            <a:t>Simuler</a:t>
          </a:r>
          <a:r>
            <a:rPr lang="fr-FR" sz="1000" b="1" baseline="0">
              <a:latin typeface="Century Gothic" pitchFamily="34" charset="0"/>
            </a:rPr>
            <a:t> </a:t>
          </a:r>
          <a:r>
            <a:rPr lang="fr-FR" sz="1000" b="1" baseline="0">
              <a:solidFill>
                <a:sysClr val="windowText" lastClr="000000"/>
              </a:solidFill>
              <a:latin typeface="Century Gothic" pitchFamily="34" charset="0"/>
            </a:rPr>
            <a:t>des tableaux de remboursement d'un emprunt</a:t>
          </a:r>
        </a:p>
      </xdr:txBody>
    </xdr:sp>
    <xdr:clientData/>
  </xdr:twoCellAnchor>
  <xdr:twoCellAnchor>
    <xdr:from>
      <xdr:col>6</xdr:col>
      <xdr:colOff>752475</xdr:colOff>
      <xdr:row>48</xdr:row>
      <xdr:rowOff>38100</xdr:rowOff>
    </xdr:from>
    <xdr:to>
      <xdr:col>10</xdr:col>
      <xdr:colOff>494242</xdr:colOff>
      <xdr:row>50</xdr:row>
      <xdr:rowOff>152400</xdr:rowOff>
    </xdr:to>
    <xdr:sp macro="" textlink="">
      <xdr:nvSpPr>
        <xdr:cNvPr id="14" name="Rectangle à coins arrondis 13">
          <a:hlinkClick xmlns:r="http://schemas.openxmlformats.org/officeDocument/2006/relationships" r:id="rId12" tooltip="Analyse prospective - Comptes de résultat prévisionnels"/>
        </xdr:cNvPr>
        <xdr:cNvSpPr/>
      </xdr:nvSpPr>
      <xdr:spPr>
        <a:xfrm>
          <a:off x="4943475" y="8220075"/>
          <a:ext cx="2789767" cy="4953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a:latin typeface="Century Gothic" pitchFamily="34" charset="0"/>
            </a:rPr>
            <a:t>3) </a:t>
          </a:r>
          <a:r>
            <a:rPr lang="fr-FR" sz="1000">
              <a:latin typeface="Century Gothic" pitchFamily="34" charset="0"/>
            </a:rPr>
            <a:t>Compléter</a:t>
          </a:r>
          <a:r>
            <a:rPr lang="fr-FR" sz="1000" baseline="0">
              <a:latin typeface="Century Gothic" pitchFamily="34" charset="0"/>
            </a:rPr>
            <a:t> les </a:t>
          </a:r>
          <a:r>
            <a:rPr lang="fr-FR" sz="1000" b="1" baseline="0">
              <a:solidFill>
                <a:sysClr val="windowText" lastClr="000000"/>
              </a:solidFill>
              <a:latin typeface="Century Gothic" pitchFamily="34" charset="0"/>
            </a:rPr>
            <a:t>Comptes de résultat prévisionnels</a:t>
          </a:r>
          <a:endParaRPr lang="fr-FR" sz="1000" b="1">
            <a:solidFill>
              <a:sysClr val="windowText" lastClr="000000"/>
            </a:solidFill>
            <a:latin typeface="Century Gothic" pitchFamily="34" charset="0"/>
          </a:endParaRPr>
        </a:p>
      </xdr:txBody>
    </xdr:sp>
    <xdr:clientData/>
  </xdr:twoCellAnchor>
  <xdr:twoCellAnchor>
    <xdr:from>
      <xdr:col>1</xdr:col>
      <xdr:colOff>481013</xdr:colOff>
      <xdr:row>67</xdr:row>
      <xdr:rowOff>152400</xdr:rowOff>
    </xdr:from>
    <xdr:to>
      <xdr:col>5</xdr:col>
      <xdr:colOff>516732</xdr:colOff>
      <xdr:row>70</xdr:row>
      <xdr:rowOff>152400</xdr:rowOff>
    </xdr:to>
    <xdr:sp macro="" textlink="">
      <xdr:nvSpPr>
        <xdr:cNvPr id="15" name="Ellipse 14">
          <a:hlinkClick xmlns:r="http://schemas.openxmlformats.org/officeDocument/2006/relationships" r:id="rId13"/>
        </xdr:cNvPr>
        <xdr:cNvSpPr/>
      </xdr:nvSpPr>
      <xdr:spPr>
        <a:xfrm>
          <a:off x="862013" y="12611100"/>
          <a:ext cx="3083719" cy="571500"/>
        </a:xfrm>
        <a:prstGeom prst="ellipse">
          <a:avLst/>
        </a:prstGeom>
        <a:solidFill>
          <a:srgbClr val="005577"/>
        </a:solidFill>
        <a:ln>
          <a:solidFill>
            <a:srgbClr val="005577"/>
          </a:solidFill>
        </a:ln>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1600" b="1" baseline="0">
              <a:latin typeface="Century Gothic" pitchFamily="34" charset="0"/>
            </a:rPr>
            <a:t>Retour d'expérience</a:t>
          </a:r>
        </a:p>
      </xdr:txBody>
    </xdr:sp>
    <xdr:clientData/>
  </xdr:twoCellAnchor>
  <xdr:twoCellAnchor>
    <xdr:from>
      <xdr:col>6</xdr:col>
      <xdr:colOff>752475</xdr:colOff>
      <xdr:row>64</xdr:row>
      <xdr:rowOff>0</xdr:rowOff>
    </xdr:from>
    <xdr:to>
      <xdr:col>10</xdr:col>
      <xdr:colOff>504750</xdr:colOff>
      <xdr:row>66</xdr:row>
      <xdr:rowOff>161925</xdr:rowOff>
    </xdr:to>
    <xdr:sp macro="" textlink="">
      <xdr:nvSpPr>
        <xdr:cNvPr id="16" name="Rectangle à coins arrondis 15">
          <a:hlinkClick xmlns:r="http://schemas.openxmlformats.org/officeDocument/2006/relationships" r:id="rId14" tooltip="Analyse prospective - Restitutions (2)"/>
        </xdr:cNvPr>
        <xdr:cNvSpPr/>
      </xdr:nvSpPr>
      <xdr:spPr>
        <a:xfrm>
          <a:off x="4943475" y="11887200"/>
          <a:ext cx="2800275" cy="54292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8) Accéder à </a:t>
          </a:r>
          <a:r>
            <a:rPr lang="fr-FR" sz="1000" b="1" baseline="0">
              <a:solidFill>
                <a:sysClr val="windowText" lastClr="000000"/>
              </a:solidFill>
              <a:latin typeface="Century Gothic" pitchFamily="34" charset="0"/>
            </a:rPr>
            <a:t>l'annexe 5</a:t>
          </a:r>
          <a:endParaRPr lang="fr-FR" sz="1000" b="1">
            <a:solidFill>
              <a:sysClr val="windowText" lastClr="000000"/>
            </a:solidFill>
            <a:latin typeface="Century Gothic" pitchFamily="34" charset="0"/>
          </a:endParaRPr>
        </a:p>
      </xdr:txBody>
    </xdr:sp>
    <xdr:clientData/>
  </xdr:twoCellAnchor>
  <xdr:twoCellAnchor>
    <xdr:from>
      <xdr:col>6</xdr:col>
      <xdr:colOff>752476</xdr:colOff>
      <xdr:row>67</xdr:row>
      <xdr:rowOff>28575</xdr:rowOff>
    </xdr:from>
    <xdr:to>
      <xdr:col>10</xdr:col>
      <xdr:colOff>504750</xdr:colOff>
      <xdr:row>70</xdr:row>
      <xdr:rowOff>0</xdr:rowOff>
    </xdr:to>
    <xdr:sp macro="" textlink="">
      <xdr:nvSpPr>
        <xdr:cNvPr id="17" name="Rectangle à coins arrondis 16">
          <a:hlinkClick xmlns:r="http://schemas.openxmlformats.org/officeDocument/2006/relationships" r:id="rId15" tooltip="Analyse prospective - Restitutions (2)"/>
        </xdr:cNvPr>
        <xdr:cNvSpPr/>
      </xdr:nvSpPr>
      <xdr:spPr>
        <a:xfrm>
          <a:off x="4943476" y="12487275"/>
          <a:ext cx="2800274" cy="54292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00" b="1" baseline="0">
              <a:latin typeface="Century Gothic" pitchFamily="34" charset="0"/>
            </a:rPr>
            <a:t>9) Accéder à </a:t>
          </a:r>
          <a:r>
            <a:rPr lang="fr-FR" sz="1000" b="1" baseline="0">
              <a:solidFill>
                <a:sysClr val="windowText" lastClr="000000"/>
              </a:solidFill>
              <a:latin typeface="Century Gothic" pitchFamily="34" charset="0"/>
            </a:rPr>
            <a:t>l'annexe 7</a:t>
          </a:r>
          <a:endParaRPr lang="fr-FR" sz="1000" b="1">
            <a:solidFill>
              <a:sysClr val="windowText" lastClr="000000"/>
            </a:solidFill>
            <a:latin typeface="Century Gothic" pitchFamily="34" charset="0"/>
          </a:endParaRPr>
        </a:p>
      </xdr:txBody>
    </xdr:sp>
    <xdr:clientData/>
  </xdr:twoCellAnchor>
  <xdr:twoCellAnchor editAs="oneCell">
    <xdr:from>
      <xdr:col>1</xdr:col>
      <xdr:colOff>1</xdr:colOff>
      <xdr:row>0</xdr:row>
      <xdr:rowOff>119062</xdr:rowOff>
    </xdr:from>
    <xdr:to>
      <xdr:col>3</xdr:col>
      <xdr:colOff>226219</xdr:colOff>
      <xdr:row>4</xdr:row>
      <xdr:rowOff>634633</xdr:rowOff>
    </xdr:to>
    <xdr:pic>
      <xdr:nvPicPr>
        <xdr:cNvPr id="8" name="Image 7"/>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1001" y="119062"/>
          <a:ext cx="1750218" cy="1277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123825</xdr:rowOff>
    </xdr:from>
    <xdr:to>
      <xdr:col>0</xdr:col>
      <xdr:colOff>751417</xdr:colOff>
      <xdr:row>2</xdr:row>
      <xdr:rowOff>120650</xdr:rowOff>
    </xdr:to>
    <xdr:sp macro="" textlink="">
      <xdr:nvSpPr>
        <xdr:cNvPr id="2" name="Rectangle à coins arrondis 1">
          <a:hlinkClick xmlns:r="http://schemas.openxmlformats.org/officeDocument/2006/relationships" r:id="rId1" tooltip="Retour MENU"/>
        </xdr:cNvPr>
        <xdr:cNvSpPr/>
      </xdr:nvSpPr>
      <xdr:spPr>
        <a:xfrm>
          <a:off x="95250" y="123825"/>
          <a:ext cx="656167" cy="3683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4</xdr:col>
      <xdr:colOff>385233</xdr:colOff>
      <xdr:row>0</xdr:row>
      <xdr:rowOff>82550</xdr:rowOff>
    </xdr:from>
    <xdr:to>
      <xdr:col>5</xdr:col>
      <xdr:colOff>975783</xdr:colOff>
      <xdr:row>3</xdr:row>
      <xdr:rowOff>21167</xdr:rowOff>
    </xdr:to>
    <xdr:sp macro="" textlink="">
      <xdr:nvSpPr>
        <xdr:cNvPr id="3" name="Rectangle à coins arrondis 2">
          <a:hlinkClick xmlns:r="http://schemas.openxmlformats.org/officeDocument/2006/relationships" r:id="rId2" tooltip="Retour PROGRAMME PLURIANNUEL D'INVESTISSEMENT"/>
        </xdr:cNvPr>
        <xdr:cNvSpPr/>
      </xdr:nvSpPr>
      <xdr:spPr>
        <a:xfrm>
          <a:off x="6068483" y="82550"/>
          <a:ext cx="1405467" cy="478367"/>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000" b="1" baseline="0">
              <a:latin typeface="Century Gothic" pitchFamily="34" charset="0"/>
            </a:rPr>
            <a:t>Programme Pluriannuel d'Investissement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xdr:row>
      <xdr:rowOff>0</xdr:rowOff>
    </xdr:from>
    <xdr:to>
      <xdr:col>0</xdr:col>
      <xdr:colOff>751417</xdr:colOff>
      <xdr:row>2</xdr:row>
      <xdr:rowOff>39750</xdr:rowOff>
    </xdr:to>
    <xdr:sp macro="" textlink="">
      <xdr:nvSpPr>
        <xdr:cNvPr id="2" name="Rectangle à coins arrondis 1">
          <a:hlinkClick xmlns:r="http://schemas.openxmlformats.org/officeDocument/2006/relationships" r:id="rId1" tooltip="Retour MENU"/>
        </xdr:cNvPr>
        <xdr:cNvSpPr/>
      </xdr:nvSpPr>
      <xdr:spPr>
        <a:xfrm>
          <a:off x="95250" y="176893"/>
          <a:ext cx="656167" cy="352714"/>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200025</xdr:rowOff>
    </xdr:from>
    <xdr:to>
      <xdr:col>0</xdr:col>
      <xdr:colOff>732367</xdr:colOff>
      <xdr:row>2</xdr:row>
      <xdr:rowOff>15875</xdr:rowOff>
    </xdr:to>
    <xdr:sp macro="" textlink="">
      <xdr:nvSpPr>
        <xdr:cNvPr id="2" name="Rectangle à coins arrondis 1">
          <a:hlinkClick xmlns:r="http://schemas.openxmlformats.org/officeDocument/2006/relationships" r:id="rId1" tooltip="Retour MENU"/>
        </xdr:cNvPr>
        <xdr:cNvSpPr/>
      </xdr:nvSpPr>
      <xdr:spPr>
        <a:xfrm>
          <a:off x="76200" y="200025"/>
          <a:ext cx="656167" cy="34925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690563</xdr:colOff>
      <xdr:row>0</xdr:row>
      <xdr:rowOff>154781</xdr:rowOff>
    </xdr:from>
    <xdr:to>
      <xdr:col>11</xdr:col>
      <xdr:colOff>23813</xdr:colOff>
      <xdr:row>2</xdr:row>
      <xdr:rowOff>142875</xdr:rowOff>
    </xdr:to>
    <xdr:sp macro="" textlink="">
      <xdr:nvSpPr>
        <xdr:cNvPr id="3" name="Rectangle à coins arrondis 2">
          <a:hlinkClick xmlns:r="http://schemas.openxmlformats.org/officeDocument/2006/relationships" r:id="rId2" tooltip="Compléter le Plan Pluriannuel de Financement"/>
        </xdr:cNvPr>
        <xdr:cNvSpPr/>
      </xdr:nvSpPr>
      <xdr:spPr>
        <a:xfrm>
          <a:off x="8358188" y="154781"/>
          <a:ext cx="1869281" cy="511969"/>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100" b="1">
              <a:solidFill>
                <a:schemeClr val="lt1"/>
              </a:solidFill>
              <a:latin typeface="+mn-lt"/>
              <a:ea typeface="+mn-ea"/>
              <a:cs typeface="+mn-cs"/>
            </a:rPr>
            <a:t>4) </a:t>
          </a:r>
          <a:r>
            <a:rPr lang="fr-FR" sz="1100">
              <a:solidFill>
                <a:schemeClr val="lt1"/>
              </a:solidFill>
              <a:latin typeface="+mn-lt"/>
              <a:ea typeface="+mn-ea"/>
              <a:cs typeface="+mn-cs"/>
            </a:rPr>
            <a:t>Compléter</a:t>
          </a:r>
          <a:r>
            <a:rPr lang="fr-FR" sz="1100" baseline="0">
              <a:solidFill>
                <a:schemeClr val="lt1"/>
              </a:solidFill>
              <a:latin typeface="+mn-lt"/>
              <a:ea typeface="+mn-ea"/>
              <a:cs typeface="+mn-cs"/>
            </a:rPr>
            <a:t> le </a:t>
          </a:r>
          <a:r>
            <a:rPr lang="fr-FR" sz="1100" b="1" baseline="0">
              <a:solidFill>
                <a:sysClr val="windowText" lastClr="000000"/>
              </a:solidFill>
              <a:latin typeface="+mn-lt"/>
              <a:ea typeface="+mn-ea"/>
              <a:cs typeface="+mn-cs"/>
            </a:rPr>
            <a:t>Tableau de surcoûts d'exploitation</a:t>
          </a:r>
          <a:endParaRPr lang="fr-FR" sz="1100" b="1">
            <a:solidFill>
              <a:sysClr val="windowText" lastClr="000000"/>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3790950</xdr:colOff>
      <xdr:row>5</xdr:row>
      <xdr:rowOff>161925</xdr:rowOff>
    </xdr:from>
    <xdr:to>
      <xdr:col>1</xdr:col>
      <xdr:colOff>3867150</xdr:colOff>
      <xdr:row>5</xdr:row>
      <xdr:rowOff>209550</xdr:rowOff>
    </xdr:to>
    <xdr:sp macro="" textlink="">
      <xdr:nvSpPr>
        <xdr:cNvPr id="41000" name="Text Box 2"/>
        <xdr:cNvSpPr txBox="1">
          <a:spLocks noChangeArrowheads="1"/>
        </xdr:cNvSpPr>
      </xdr:nvSpPr>
      <xdr:spPr bwMode="auto">
        <a:xfrm flipV="1">
          <a:off x="4552950" y="1343025"/>
          <a:ext cx="76200" cy="38100"/>
        </a:xfrm>
        <a:prstGeom prst="rect">
          <a:avLst/>
        </a:prstGeom>
        <a:solidFill>
          <a:srgbClr val="3366FF"/>
        </a:solidFill>
        <a:ln w="9525">
          <a:solidFill>
            <a:srgbClr val="000000"/>
          </a:solidFill>
          <a:miter lim="800000"/>
          <a:headEnd/>
          <a:tailEnd/>
        </a:ln>
      </xdr:spPr>
    </xdr:sp>
    <xdr:clientData fPrintsWithSheet="0"/>
  </xdr:twoCellAnchor>
  <xdr:twoCellAnchor>
    <xdr:from>
      <xdr:col>0</xdr:col>
      <xdr:colOff>28575</xdr:colOff>
      <xdr:row>0</xdr:row>
      <xdr:rowOff>180975</xdr:rowOff>
    </xdr:from>
    <xdr:to>
      <xdr:col>0</xdr:col>
      <xdr:colOff>684742</xdr:colOff>
      <xdr:row>2</xdr:row>
      <xdr:rowOff>38100</xdr:rowOff>
    </xdr:to>
    <xdr:sp macro="" textlink="">
      <xdr:nvSpPr>
        <xdr:cNvPr id="5" name="Rectangle à coins arrondis 4">
          <a:hlinkClick xmlns:r="http://schemas.openxmlformats.org/officeDocument/2006/relationships" r:id="rId1" tooltip="Retour MENU"/>
        </xdr:cNvPr>
        <xdr:cNvSpPr/>
      </xdr:nvSpPr>
      <xdr:spPr>
        <a:xfrm>
          <a:off x="28575" y="180975"/>
          <a:ext cx="656167" cy="37147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2</xdr:col>
      <xdr:colOff>137583</xdr:colOff>
      <xdr:row>6</xdr:row>
      <xdr:rowOff>21167</xdr:rowOff>
    </xdr:from>
    <xdr:to>
      <xdr:col>2</xdr:col>
      <xdr:colOff>183302</xdr:colOff>
      <xdr:row>7</xdr:row>
      <xdr:rowOff>10583</xdr:rowOff>
    </xdr:to>
    <xdr:sp macro="" textlink="">
      <xdr:nvSpPr>
        <xdr:cNvPr id="7" name="Accolade fermante 6"/>
        <xdr:cNvSpPr/>
      </xdr:nvSpPr>
      <xdr:spPr>
        <a:xfrm>
          <a:off x="5423958" y="1412875"/>
          <a:ext cx="45719" cy="190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fr-FR"/>
        </a:p>
      </xdr:txBody>
    </xdr:sp>
    <xdr:clientData/>
  </xdr:twoCellAnchor>
  <xdr:twoCellAnchor>
    <xdr:from>
      <xdr:col>2</xdr:col>
      <xdr:colOff>137582</xdr:colOff>
      <xdr:row>7</xdr:row>
      <xdr:rowOff>63500</xdr:rowOff>
    </xdr:from>
    <xdr:to>
      <xdr:col>2</xdr:col>
      <xdr:colOff>183301</xdr:colOff>
      <xdr:row>9</xdr:row>
      <xdr:rowOff>127000</xdr:rowOff>
    </xdr:to>
    <xdr:sp macro="" textlink="">
      <xdr:nvSpPr>
        <xdr:cNvPr id="8" name="Accolade fermante 7"/>
        <xdr:cNvSpPr/>
      </xdr:nvSpPr>
      <xdr:spPr>
        <a:xfrm>
          <a:off x="5423957" y="1656292"/>
          <a:ext cx="45719" cy="476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fr-FR"/>
        </a:p>
      </xdr:txBody>
    </xdr:sp>
    <xdr:clientData/>
  </xdr:twoCellAnchor>
  <xdr:twoCellAnchor>
    <xdr:from>
      <xdr:col>2</xdr:col>
      <xdr:colOff>142875</xdr:colOff>
      <xdr:row>11</xdr:row>
      <xdr:rowOff>31750</xdr:rowOff>
    </xdr:from>
    <xdr:to>
      <xdr:col>2</xdr:col>
      <xdr:colOff>188594</xdr:colOff>
      <xdr:row>12</xdr:row>
      <xdr:rowOff>21166</xdr:rowOff>
    </xdr:to>
    <xdr:sp macro="" textlink="">
      <xdr:nvSpPr>
        <xdr:cNvPr id="10" name="Accolade fermante 9"/>
        <xdr:cNvSpPr/>
      </xdr:nvSpPr>
      <xdr:spPr>
        <a:xfrm>
          <a:off x="5429250" y="2439458"/>
          <a:ext cx="45719" cy="190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fr-FR"/>
        </a:p>
      </xdr:txBody>
    </xdr:sp>
    <xdr:clientData/>
  </xdr:twoCellAnchor>
  <xdr:twoCellAnchor>
    <xdr:from>
      <xdr:col>2</xdr:col>
      <xdr:colOff>142874</xdr:colOff>
      <xdr:row>12</xdr:row>
      <xdr:rowOff>63500</xdr:rowOff>
    </xdr:from>
    <xdr:to>
      <xdr:col>2</xdr:col>
      <xdr:colOff>195791</xdr:colOff>
      <xdr:row>13</xdr:row>
      <xdr:rowOff>158750</xdr:rowOff>
    </xdr:to>
    <xdr:sp macro="" textlink="">
      <xdr:nvSpPr>
        <xdr:cNvPr id="11" name="Accolade fermante 10"/>
        <xdr:cNvSpPr/>
      </xdr:nvSpPr>
      <xdr:spPr>
        <a:xfrm>
          <a:off x="5429249" y="2672292"/>
          <a:ext cx="52917" cy="30691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fr-FR"/>
        </a:p>
      </xdr:txBody>
    </xdr:sp>
    <xdr:clientData/>
  </xdr:twoCellAnchor>
  <xdr:twoCellAnchor>
    <xdr:from>
      <xdr:col>2</xdr:col>
      <xdr:colOff>752475</xdr:colOff>
      <xdr:row>0</xdr:row>
      <xdr:rowOff>152400</xdr:rowOff>
    </xdr:from>
    <xdr:to>
      <xdr:col>5</xdr:col>
      <xdr:colOff>330654</xdr:colOff>
      <xdr:row>2</xdr:row>
      <xdr:rowOff>156823</xdr:rowOff>
    </xdr:to>
    <xdr:sp macro="" textlink="">
      <xdr:nvSpPr>
        <xdr:cNvPr id="9" name="Rectangle à coins arrondis 8">
          <a:hlinkClick xmlns:r="http://schemas.openxmlformats.org/officeDocument/2006/relationships" r:id="rId2" tooltip="Analyse prospective - Restitutions (1)"/>
        </xdr:cNvPr>
        <xdr:cNvSpPr/>
      </xdr:nvSpPr>
      <xdr:spPr>
        <a:xfrm>
          <a:off x="6038850" y="152400"/>
          <a:ext cx="1864179" cy="518773"/>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100" b="1">
              <a:solidFill>
                <a:schemeClr val="lt1"/>
              </a:solidFill>
              <a:latin typeface="+mn-lt"/>
              <a:ea typeface="+mn-ea"/>
              <a:cs typeface="+mn-cs"/>
            </a:rPr>
            <a:t>5) </a:t>
          </a:r>
          <a:r>
            <a:rPr lang="fr-FR" sz="1100" b="0">
              <a:solidFill>
                <a:schemeClr val="lt1"/>
              </a:solidFill>
              <a:latin typeface="+mn-lt"/>
              <a:ea typeface="+mn-ea"/>
              <a:cs typeface="+mn-cs"/>
            </a:rPr>
            <a:t>Calcul des indicateurs - </a:t>
          </a:r>
          <a:r>
            <a:rPr lang="fr-FR" sz="1100" b="1">
              <a:solidFill>
                <a:sysClr val="windowText" lastClr="000000"/>
              </a:solidFill>
              <a:latin typeface="+mn-lt"/>
              <a:ea typeface="+mn-ea"/>
              <a:cs typeface="+mn-cs"/>
            </a:rPr>
            <a:t>Restitutions</a:t>
          </a:r>
          <a:r>
            <a:rPr lang="fr-FR" sz="1100" b="1" baseline="0">
              <a:solidFill>
                <a:sysClr val="windowText" lastClr="000000"/>
              </a:solidFill>
              <a:latin typeface="+mn-lt"/>
              <a:ea typeface="+mn-ea"/>
              <a:cs typeface="+mn-cs"/>
            </a:rPr>
            <a:t> (1)</a:t>
          </a:r>
          <a:endParaRPr lang="fr-FR" sz="1100" b="1">
            <a:solidFill>
              <a:sysClr val="windowText" lastClr="000000"/>
            </a:solidFill>
            <a:latin typeface="+mn-lt"/>
            <a:ea typeface="+mn-ea"/>
            <a:cs typeface="+mn-cs"/>
          </a:endParaRPr>
        </a:p>
      </xdr:txBody>
    </xdr:sp>
    <xdr:clientData/>
  </xdr:twoCellAnchor>
  <xdr:twoCellAnchor>
    <xdr:from>
      <xdr:col>5</xdr:col>
      <xdr:colOff>438150</xdr:colOff>
      <xdr:row>0</xdr:row>
      <xdr:rowOff>142875</xdr:rowOff>
    </xdr:from>
    <xdr:to>
      <xdr:col>8</xdr:col>
      <xdr:colOff>16329</xdr:colOff>
      <xdr:row>2</xdr:row>
      <xdr:rowOff>147298</xdr:rowOff>
    </xdr:to>
    <xdr:sp macro="" textlink="">
      <xdr:nvSpPr>
        <xdr:cNvPr id="12" name="Rectangle à coins arrondis 11">
          <a:hlinkClick xmlns:r="http://schemas.openxmlformats.org/officeDocument/2006/relationships" r:id="rId3" tooltip="Analyse prospective - Restitutions (2)"/>
        </xdr:cNvPr>
        <xdr:cNvSpPr/>
      </xdr:nvSpPr>
      <xdr:spPr>
        <a:xfrm>
          <a:off x="8010525" y="142875"/>
          <a:ext cx="1864179" cy="518773"/>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100" b="1">
              <a:solidFill>
                <a:schemeClr val="lt1"/>
              </a:solidFill>
              <a:latin typeface="+mn-lt"/>
              <a:ea typeface="+mn-ea"/>
              <a:cs typeface="+mn-cs"/>
            </a:rPr>
            <a:t>5) </a:t>
          </a:r>
          <a:r>
            <a:rPr lang="fr-FR" sz="1100" b="0">
              <a:solidFill>
                <a:schemeClr val="lt1"/>
              </a:solidFill>
              <a:latin typeface="+mn-lt"/>
              <a:ea typeface="+mn-ea"/>
              <a:cs typeface="+mn-cs"/>
            </a:rPr>
            <a:t>Calcul des indicateurs - </a:t>
          </a:r>
          <a:r>
            <a:rPr lang="fr-FR" sz="1100" b="1">
              <a:solidFill>
                <a:sysClr val="windowText" lastClr="000000"/>
              </a:solidFill>
              <a:latin typeface="+mn-lt"/>
              <a:ea typeface="+mn-ea"/>
              <a:cs typeface="+mn-cs"/>
            </a:rPr>
            <a:t>Restitutions</a:t>
          </a:r>
          <a:r>
            <a:rPr lang="fr-FR" sz="1100" b="1" baseline="0">
              <a:solidFill>
                <a:sysClr val="windowText" lastClr="000000"/>
              </a:solidFill>
              <a:latin typeface="+mn-lt"/>
              <a:ea typeface="+mn-ea"/>
              <a:cs typeface="+mn-cs"/>
            </a:rPr>
            <a:t> (2)</a:t>
          </a:r>
          <a:endParaRPr lang="fr-FR" sz="1100" b="1">
            <a:solidFill>
              <a:sysClr val="windowText" lastClr="000000"/>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202406</xdr:colOff>
      <xdr:row>0</xdr:row>
      <xdr:rowOff>178594</xdr:rowOff>
    </xdr:from>
    <xdr:to>
      <xdr:col>1</xdr:col>
      <xdr:colOff>477573</xdr:colOff>
      <xdr:row>2</xdr:row>
      <xdr:rowOff>10319</xdr:rowOff>
    </xdr:to>
    <xdr:sp macro="" textlink="">
      <xdr:nvSpPr>
        <xdr:cNvPr id="3" name="Rectangle à coins arrondis 2">
          <a:hlinkClick xmlns:r="http://schemas.openxmlformats.org/officeDocument/2006/relationships" r:id="rId1" tooltip="Retour MENU"/>
        </xdr:cNvPr>
        <xdr:cNvSpPr/>
      </xdr:nvSpPr>
      <xdr:spPr>
        <a:xfrm>
          <a:off x="202406" y="178594"/>
          <a:ext cx="656167" cy="3556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editAs="oneCell">
    <xdr:from>
      <xdr:col>1</xdr:col>
      <xdr:colOff>200025</xdr:colOff>
      <xdr:row>16</xdr:row>
      <xdr:rowOff>57150</xdr:rowOff>
    </xdr:from>
    <xdr:to>
      <xdr:col>1</xdr:col>
      <xdr:colOff>514350</xdr:colOff>
      <xdr:row>17</xdr:row>
      <xdr:rowOff>76200</xdr:rowOff>
    </xdr:to>
    <xdr:pic>
      <xdr:nvPicPr>
        <xdr:cNvPr id="61482" name="Image 3">
          <a:hlinkClick xmlns:r="http://schemas.openxmlformats.org/officeDocument/2006/relationships" r:id="rId2" tooltip="Remboursement par annuité constante"/>
        </xdr:cNvPr>
        <xdr:cNvPicPr>
          <a:picLocks noChangeAspect="1"/>
        </xdr:cNvPicPr>
      </xdr:nvPicPr>
      <xdr:blipFill>
        <a:blip xmlns:r="http://schemas.openxmlformats.org/officeDocument/2006/relationships" r:embed="rId3" cstate="print"/>
        <a:srcRect/>
        <a:stretch>
          <a:fillRect/>
        </a:stretch>
      </xdr:blipFill>
      <xdr:spPr bwMode="auto">
        <a:xfrm>
          <a:off x="619125" y="3705225"/>
          <a:ext cx="314325" cy="228600"/>
        </a:xfrm>
        <a:prstGeom prst="rect">
          <a:avLst/>
        </a:prstGeom>
        <a:noFill/>
        <a:ln w="9525">
          <a:noFill/>
          <a:miter lim="800000"/>
          <a:headEnd/>
          <a:tailEnd/>
        </a:ln>
      </xdr:spPr>
    </xdr:pic>
    <xdr:clientData/>
  </xdr:twoCellAnchor>
  <xdr:twoCellAnchor editAs="oneCell">
    <xdr:from>
      <xdr:col>9</xdr:col>
      <xdr:colOff>247650</xdr:colOff>
      <xdr:row>16</xdr:row>
      <xdr:rowOff>76200</xdr:rowOff>
    </xdr:from>
    <xdr:to>
      <xdr:col>9</xdr:col>
      <xdr:colOff>561975</xdr:colOff>
      <xdr:row>17</xdr:row>
      <xdr:rowOff>95250</xdr:rowOff>
    </xdr:to>
    <xdr:pic>
      <xdr:nvPicPr>
        <xdr:cNvPr id="61483" name="Image 4">
          <a:hlinkClick xmlns:r="http://schemas.openxmlformats.org/officeDocument/2006/relationships" r:id="rId2" tooltip="Remboursement par amortissement constant du capital"/>
        </xdr:cNvPr>
        <xdr:cNvPicPr>
          <a:picLocks noChangeAspect="1"/>
        </xdr:cNvPicPr>
      </xdr:nvPicPr>
      <xdr:blipFill>
        <a:blip xmlns:r="http://schemas.openxmlformats.org/officeDocument/2006/relationships" r:embed="rId3" cstate="print"/>
        <a:srcRect/>
        <a:stretch>
          <a:fillRect/>
        </a:stretch>
      </xdr:blipFill>
      <xdr:spPr bwMode="auto">
        <a:xfrm>
          <a:off x="6629400" y="3724275"/>
          <a:ext cx="314325" cy="228600"/>
        </a:xfrm>
        <a:prstGeom prst="rect">
          <a:avLst/>
        </a:prstGeom>
        <a:noFill/>
        <a:ln w="9525">
          <a:noFill/>
          <a:miter lim="800000"/>
          <a:headEnd/>
          <a:tailEnd/>
        </a:ln>
      </xdr:spPr>
    </xdr:pic>
    <xdr:clientData/>
  </xdr:twoCellAnchor>
  <xdr:twoCellAnchor editAs="oneCell">
    <xdr:from>
      <xdr:col>17</xdr:col>
      <xdr:colOff>247650</xdr:colOff>
      <xdr:row>16</xdr:row>
      <xdr:rowOff>76200</xdr:rowOff>
    </xdr:from>
    <xdr:to>
      <xdr:col>17</xdr:col>
      <xdr:colOff>561975</xdr:colOff>
      <xdr:row>17</xdr:row>
      <xdr:rowOff>95250</xdr:rowOff>
    </xdr:to>
    <xdr:pic>
      <xdr:nvPicPr>
        <xdr:cNvPr id="61484" name="Image 5">
          <a:hlinkClick xmlns:r="http://schemas.openxmlformats.org/officeDocument/2006/relationships" r:id="rId2" tooltip="Remboursement in fine"/>
        </xdr:cNvPr>
        <xdr:cNvPicPr>
          <a:picLocks noChangeAspect="1"/>
        </xdr:cNvPicPr>
      </xdr:nvPicPr>
      <xdr:blipFill>
        <a:blip xmlns:r="http://schemas.openxmlformats.org/officeDocument/2006/relationships" r:embed="rId3" cstate="print"/>
        <a:srcRect/>
        <a:stretch>
          <a:fillRect/>
        </a:stretch>
      </xdr:blipFill>
      <xdr:spPr bwMode="auto">
        <a:xfrm>
          <a:off x="12896850" y="3724275"/>
          <a:ext cx="314325" cy="228600"/>
        </a:xfrm>
        <a:prstGeom prst="rect">
          <a:avLst/>
        </a:prstGeom>
        <a:noFill/>
        <a:ln w="9525">
          <a:noFill/>
          <a:miter lim="800000"/>
          <a:headEnd/>
          <a:tailEnd/>
        </a:ln>
      </xdr:spPr>
    </xdr:pic>
    <xdr:clientData/>
  </xdr:twoCellAnchor>
  <xdr:twoCellAnchor editAs="oneCell">
    <xdr:from>
      <xdr:col>1</xdr:col>
      <xdr:colOff>200025</xdr:colOff>
      <xdr:row>70</xdr:row>
      <xdr:rowOff>57150</xdr:rowOff>
    </xdr:from>
    <xdr:to>
      <xdr:col>1</xdr:col>
      <xdr:colOff>514350</xdr:colOff>
      <xdr:row>71</xdr:row>
      <xdr:rowOff>76200</xdr:rowOff>
    </xdr:to>
    <xdr:pic>
      <xdr:nvPicPr>
        <xdr:cNvPr id="61485" name="Image 3">
          <a:hlinkClick xmlns:r="http://schemas.openxmlformats.org/officeDocument/2006/relationships" r:id="rId2" tooltip="Remboursement par annuité constante"/>
        </xdr:cNvPr>
        <xdr:cNvPicPr>
          <a:picLocks noChangeAspect="1"/>
        </xdr:cNvPicPr>
      </xdr:nvPicPr>
      <xdr:blipFill>
        <a:blip xmlns:r="http://schemas.openxmlformats.org/officeDocument/2006/relationships" r:embed="rId3" cstate="print"/>
        <a:srcRect/>
        <a:stretch>
          <a:fillRect/>
        </a:stretch>
      </xdr:blipFill>
      <xdr:spPr bwMode="auto">
        <a:xfrm>
          <a:off x="619125" y="15001875"/>
          <a:ext cx="314325" cy="228600"/>
        </a:xfrm>
        <a:prstGeom prst="rect">
          <a:avLst/>
        </a:prstGeom>
        <a:noFill/>
        <a:ln w="9525">
          <a:noFill/>
          <a:miter lim="800000"/>
          <a:headEnd/>
          <a:tailEnd/>
        </a:ln>
      </xdr:spPr>
    </xdr:pic>
    <xdr:clientData/>
  </xdr:twoCellAnchor>
  <xdr:twoCellAnchor editAs="oneCell">
    <xdr:from>
      <xdr:col>9</xdr:col>
      <xdr:colOff>247650</xdr:colOff>
      <xdr:row>70</xdr:row>
      <xdr:rowOff>76200</xdr:rowOff>
    </xdr:from>
    <xdr:to>
      <xdr:col>9</xdr:col>
      <xdr:colOff>561975</xdr:colOff>
      <xdr:row>71</xdr:row>
      <xdr:rowOff>95250</xdr:rowOff>
    </xdr:to>
    <xdr:pic>
      <xdr:nvPicPr>
        <xdr:cNvPr id="61486" name="Image 4">
          <a:hlinkClick xmlns:r="http://schemas.openxmlformats.org/officeDocument/2006/relationships" r:id="rId2" tooltip="Remboursement par amortissement constant du capital"/>
        </xdr:cNvPr>
        <xdr:cNvPicPr>
          <a:picLocks noChangeAspect="1"/>
        </xdr:cNvPicPr>
      </xdr:nvPicPr>
      <xdr:blipFill>
        <a:blip xmlns:r="http://schemas.openxmlformats.org/officeDocument/2006/relationships" r:embed="rId3" cstate="print"/>
        <a:srcRect/>
        <a:stretch>
          <a:fillRect/>
        </a:stretch>
      </xdr:blipFill>
      <xdr:spPr bwMode="auto">
        <a:xfrm>
          <a:off x="6629400" y="15020925"/>
          <a:ext cx="314325" cy="228600"/>
        </a:xfrm>
        <a:prstGeom prst="rect">
          <a:avLst/>
        </a:prstGeom>
        <a:noFill/>
        <a:ln w="9525">
          <a:noFill/>
          <a:miter lim="800000"/>
          <a:headEnd/>
          <a:tailEnd/>
        </a:ln>
      </xdr:spPr>
    </xdr:pic>
    <xdr:clientData/>
  </xdr:twoCellAnchor>
  <xdr:twoCellAnchor editAs="oneCell">
    <xdr:from>
      <xdr:col>17</xdr:col>
      <xdr:colOff>247650</xdr:colOff>
      <xdr:row>70</xdr:row>
      <xdr:rowOff>76200</xdr:rowOff>
    </xdr:from>
    <xdr:to>
      <xdr:col>17</xdr:col>
      <xdr:colOff>561975</xdr:colOff>
      <xdr:row>71</xdr:row>
      <xdr:rowOff>95250</xdr:rowOff>
    </xdr:to>
    <xdr:pic>
      <xdr:nvPicPr>
        <xdr:cNvPr id="61487" name="Image 5">
          <a:hlinkClick xmlns:r="http://schemas.openxmlformats.org/officeDocument/2006/relationships" r:id="rId2" tooltip="Remboursement in fine"/>
        </xdr:cNvPr>
        <xdr:cNvPicPr>
          <a:picLocks noChangeAspect="1"/>
        </xdr:cNvPicPr>
      </xdr:nvPicPr>
      <xdr:blipFill>
        <a:blip xmlns:r="http://schemas.openxmlformats.org/officeDocument/2006/relationships" r:embed="rId3" cstate="print"/>
        <a:srcRect/>
        <a:stretch>
          <a:fillRect/>
        </a:stretch>
      </xdr:blipFill>
      <xdr:spPr bwMode="auto">
        <a:xfrm>
          <a:off x="12896850" y="15020925"/>
          <a:ext cx="314325" cy="228600"/>
        </a:xfrm>
        <a:prstGeom prst="rect">
          <a:avLst/>
        </a:prstGeom>
        <a:noFill/>
        <a:ln w="9525">
          <a:noFill/>
          <a:miter lim="800000"/>
          <a:headEnd/>
          <a:tailEnd/>
        </a:ln>
      </xdr:spPr>
    </xdr:pic>
    <xdr:clientData/>
  </xdr:twoCellAnchor>
  <xdr:twoCellAnchor editAs="oneCell">
    <xdr:from>
      <xdr:col>1</xdr:col>
      <xdr:colOff>200025</xdr:colOff>
      <xdr:row>124</xdr:row>
      <xdr:rowOff>57150</xdr:rowOff>
    </xdr:from>
    <xdr:to>
      <xdr:col>1</xdr:col>
      <xdr:colOff>514350</xdr:colOff>
      <xdr:row>125</xdr:row>
      <xdr:rowOff>76200</xdr:rowOff>
    </xdr:to>
    <xdr:pic>
      <xdr:nvPicPr>
        <xdr:cNvPr id="61488" name="Image 3">
          <a:hlinkClick xmlns:r="http://schemas.openxmlformats.org/officeDocument/2006/relationships" r:id="rId2" tooltip="Remboursement par annuité constante"/>
        </xdr:cNvPr>
        <xdr:cNvPicPr>
          <a:picLocks noChangeAspect="1"/>
        </xdr:cNvPicPr>
      </xdr:nvPicPr>
      <xdr:blipFill>
        <a:blip xmlns:r="http://schemas.openxmlformats.org/officeDocument/2006/relationships" r:embed="rId3" cstate="print"/>
        <a:srcRect/>
        <a:stretch>
          <a:fillRect/>
        </a:stretch>
      </xdr:blipFill>
      <xdr:spPr bwMode="auto">
        <a:xfrm>
          <a:off x="619125" y="26336625"/>
          <a:ext cx="314325" cy="228600"/>
        </a:xfrm>
        <a:prstGeom prst="rect">
          <a:avLst/>
        </a:prstGeom>
        <a:noFill/>
        <a:ln w="9525">
          <a:noFill/>
          <a:miter lim="800000"/>
          <a:headEnd/>
          <a:tailEnd/>
        </a:ln>
      </xdr:spPr>
    </xdr:pic>
    <xdr:clientData/>
  </xdr:twoCellAnchor>
  <xdr:twoCellAnchor editAs="oneCell">
    <xdr:from>
      <xdr:col>9</xdr:col>
      <xdr:colOff>247650</xdr:colOff>
      <xdr:row>124</xdr:row>
      <xdr:rowOff>76200</xdr:rowOff>
    </xdr:from>
    <xdr:to>
      <xdr:col>9</xdr:col>
      <xdr:colOff>561975</xdr:colOff>
      <xdr:row>125</xdr:row>
      <xdr:rowOff>95250</xdr:rowOff>
    </xdr:to>
    <xdr:pic>
      <xdr:nvPicPr>
        <xdr:cNvPr id="61489" name="Image 4">
          <a:hlinkClick xmlns:r="http://schemas.openxmlformats.org/officeDocument/2006/relationships" r:id="rId2" tooltip="Remboursement par amortissement constant du capital"/>
        </xdr:cNvPr>
        <xdr:cNvPicPr>
          <a:picLocks noChangeAspect="1"/>
        </xdr:cNvPicPr>
      </xdr:nvPicPr>
      <xdr:blipFill>
        <a:blip xmlns:r="http://schemas.openxmlformats.org/officeDocument/2006/relationships" r:embed="rId3" cstate="print"/>
        <a:srcRect/>
        <a:stretch>
          <a:fillRect/>
        </a:stretch>
      </xdr:blipFill>
      <xdr:spPr bwMode="auto">
        <a:xfrm>
          <a:off x="6629400" y="26355675"/>
          <a:ext cx="314325" cy="228600"/>
        </a:xfrm>
        <a:prstGeom prst="rect">
          <a:avLst/>
        </a:prstGeom>
        <a:noFill/>
        <a:ln w="9525">
          <a:noFill/>
          <a:miter lim="800000"/>
          <a:headEnd/>
          <a:tailEnd/>
        </a:ln>
      </xdr:spPr>
    </xdr:pic>
    <xdr:clientData/>
  </xdr:twoCellAnchor>
  <xdr:twoCellAnchor editAs="oneCell">
    <xdr:from>
      <xdr:col>17</xdr:col>
      <xdr:colOff>247650</xdr:colOff>
      <xdr:row>124</xdr:row>
      <xdr:rowOff>76200</xdr:rowOff>
    </xdr:from>
    <xdr:to>
      <xdr:col>17</xdr:col>
      <xdr:colOff>561975</xdr:colOff>
      <xdr:row>125</xdr:row>
      <xdr:rowOff>95250</xdr:rowOff>
    </xdr:to>
    <xdr:pic>
      <xdr:nvPicPr>
        <xdr:cNvPr id="61490" name="Image 5">
          <a:hlinkClick xmlns:r="http://schemas.openxmlformats.org/officeDocument/2006/relationships" r:id="rId2" tooltip="Remboursement in fine"/>
        </xdr:cNvPr>
        <xdr:cNvPicPr>
          <a:picLocks noChangeAspect="1"/>
        </xdr:cNvPicPr>
      </xdr:nvPicPr>
      <xdr:blipFill>
        <a:blip xmlns:r="http://schemas.openxmlformats.org/officeDocument/2006/relationships" r:embed="rId3" cstate="print"/>
        <a:srcRect/>
        <a:stretch>
          <a:fillRect/>
        </a:stretch>
      </xdr:blipFill>
      <xdr:spPr bwMode="auto">
        <a:xfrm>
          <a:off x="12896850" y="26355675"/>
          <a:ext cx="314325" cy="2286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600075</xdr:colOff>
      <xdr:row>25</xdr:row>
      <xdr:rowOff>19050</xdr:rowOff>
    </xdr:from>
    <xdr:to>
      <xdr:col>15</xdr:col>
      <xdr:colOff>57150</xdr:colOff>
      <xdr:row>25</xdr:row>
      <xdr:rowOff>295275</xdr:rowOff>
    </xdr:to>
    <xdr:pic>
      <xdr:nvPicPr>
        <xdr:cNvPr id="62509" name="Image 3" descr="Icone info.jpg">
          <a:hlinkClick xmlns:r="http://schemas.openxmlformats.org/officeDocument/2006/relationships" r:id="rId1" tooltip="Fonds de roulement net global"/>
        </xdr:cNvPr>
        <xdr:cNvPicPr>
          <a:picLocks noChangeAspect="1"/>
        </xdr:cNvPicPr>
      </xdr:nvPicPr>
      <xdr:blipFill>
        <a:blip xmlns:r="http://schemas.openxmlformats.org/officeDocument/2006/relationships" r:embed="rId2" cstate="print"/>
        <a:srcRect/>
        <a:stretch>
          <a:fillRect/>
        </a:stretch>
      </xdr:blipFill>
      <xdr:spPr bwMode="auto">
        <a:xfrm>
          <a:off x="8753475" y="5648325"/>
          <a:ext cx="371475" cy="276225"/>
        </a:xfrm>
        <a:prstGeom prst="rect">
          <a:avLst/>
        </a:prstGeom>
        <a:noFill/>
        <a:ln w="9525">
          <a:noFill/>
          <a:miter lim="800000"/>
          <a:headEnd/>
          <a:tailEnd/>
        </a:ln>
      </xdr:spPr>
    </xdr:pic>
    <xdr:clientData/>
  </xdr:twoCellAnchor>
  <xdr:twoCellAnchor editAs="oneCell">
    <xdr:from>
      <xdr:col>14</xdr:col>
      <xdr:colOff>581025</xdr:colOff>
      <xdr:row>36</xdr:row>
      <xdr:rowOff>28575</xdr:rowOff>
    </xdr:from>
    <xdr:to>
      <xdr:col>15</xdr:col>
      <xdr:colOff>38100</xdr:colOff>
      <xdr:row>36</xdr:row>
      <xdr:rowOff>304800</xdr:rowOff>
    </xdr:to>
    <xdr:pic>
      <xdr:nvPicPr>
        <xdr:cNvPr id="62510" name="Image 4" descr="Icone info.jpg">
          <a:hlinkClick xmlns:r="http://schemas.openxmlformats.org/officeDocument/2006/relationships" r:id="rId3" tooltip="Besoin en fonds de roulement ou Excédent de financement d'exploitation"/>
        </xdr:cNvPr>
        <xdr:cNvPicPr>
          <a:picLocks noChangeAspect="1"/>
        </xdr:cNvPicPr>
      </xdr:nvPicPr>
      <xdr:blipFill>
        <a:blip xmlns:r="http://schemas.openxmlformats.org/officeDocument/2006/relationships" r:embed="rId2" cstate="print"/>
        <a:srcRect/>
        <a:stretch>
          <a:fillRect/>
        </a:stretch>
      </xdr:blipFill>
      <xdr:spPr bwMode="auto">
        <a:xfrm>
          <a:off x="8734425" y="8153400"/>
          <a:ext cx="371475" cy="276225"/>
        </a:xfrm>
        <a:prstGeom prst="rect">
          <a:avLst/>
        </a:prstGeom>
        <a:noFill/>
        <a:ln w="9525">
          <a:noFill/>
          <a:miter lim="800000"/>
          <a:headEnd/>
          <a:tailEnd/>
        </a:ln>
      </xdr:spPr>
    </xdr:pic>
    <xdr:clientData/>
  </xdr:twoCellAnchor>
  <xdr:twoCellAnchor editAs="oneCell">
    <xdr:from>
      <xdr:col>14</xdr:col>
      <xdr:colOff>590550</xdr:colOff>
      <xdr:row>48</xdr:row>
      <xdr:rowOff>19050</xdr:rowOff>
    </xdr:from>
    <xdr:to>
      <xdr:col>15</xdr:col>
      <xdr:colOff>57150</xdr:colOff>
      <xdr:row>48</xdr:row>
      <xdr:rowOff>304800</xdr:rowOff>
    </xdr:to>
    <xdr:pic>
      <xdr:nvPicPr>
        <xdr:cNvPr id="62511" name="Image 5" descr="Icone info.jpg">
          <a:hlinkClick xmlns:r="http://schemas.openxmlformats.org/officeDocument/2006/relationships" r:id="rId4" tooltip="Trésorerie nette"/>
        </xdr:cNvPr>
        <xdr:cNvPicPr>
          <a:picLocks noChangeAspect="1"/>
        </xdr:cNvPicPr>
      </xdr:nvPicPr>
      <xdr:blipFill>
        <a:blip xmlns:r="http://schemas.openxmlformats.org/officeDocument/2006/relationships" r:embed="rId5" cstate="print"/>
        <a:srcRect/>
        <a:stretch>
          <a:fillRect/>
        </a:stretch>
      </xdr:blipFill>
      <xdr:spPr bwMode="auto">
        <a:xfrm>
          <a:off x="8743950" y="10991850"/>
          <a:ext cx="381000" cy="285750"/>
        </a:xfrm>
        <a:prstGeom prst="rect">
          <a:avLst/>
        </a:prstGeom>
        <a:noFill/>
        <a:ln w="9525">
          <a:noFill/>
          <a:miter lim="800000"/>
          <a:headEnd/>
          <a:tailEnd/>
        </a:ln>
      </xdr:spPr>
    </xdr:pic>
    <xdr:clientData/>
  </xdr:twoCellAnchor>
  <xdr:twoCellAnchor editAs="oneCell">
    <xdr:from>
      <xdr:col>14</xdr:col>
      <xdr:colOff>552450</xdr:colOff>
      <xdr:row>14</xdr:row>
      <xdr:rowOff>19050</xdr:rowOff>
    </xdr:from>
    <xdr:to>
      <xdr:col>15</xdr:col>
      <xdr:colOff>28575</xdr:colOff>
      <xdr:row>14</xdr:row>
      <xdr:rowOff>304800</xdr:rowOff>
    </xdr:to>
    <xdr:pic>
      <xdr:nvPicPr>
        <xdr:cNvPr id="62512" name="Image 8" descr="Icone info.jpg">
          <a:hlinkClick xmlns:r="http://schemas.openxmlformats.org/officeDocument/2006/relationships" r:id="rId6" tooltip="Fonds de roulement d'exploitation"/>
        </xdr:cNvPr>
        <xdr:cNvPicPr>
          <a:picLocks noChangeAspect="1"/>
        </xdr:cNvPicPr>
      </xdr:nvPicPr>
      <xdr:blipFill>
        <a:blip xmlns:r="http://schemas.openxmlformats.org/officeDocument/2006/relationships" r:embed="rId7" cstate="print"/>
        <a:srcRect/>
        <a:stretch>
          <a:fillRect/>
        </a:stretch>
      </xdr:blipFill>
      <xdr:spPr bwMode="auto">
        <a:xfrm>
          <a:off x="8705850" y="3152775"/>
          <a:ext cx="390525" cy="285750"/>
        </a:xfrm>
        <a:prstGeom prst="rect">
          <a:avLst/>
        </a:prstGeom>
        <a:noFill/>
        <a:ln w="9525">
          <a:noFill/>
          <a:miter lim="800000"/>
          <a:headEnd/>
          <a:tailEnd/>
        </a:ln>
      </xdr:spPr>
    </xdr:pic>
    <xdr:clientData/>
  </xdr:twoCellAnchor>
  <xdr:twoCellAnchor editAs="oneCell">
    <xdr:from>
      <xdr:col>14</xdr:col>
      <xdr:colOff>581025</xdr:colOff>
      <xdr:row>3</xdr:row>
      <xdr:rowOff>28575</xdr:rowOff>
    </xdr:from>
    <xdr:to>
      <xdr:col>15</xdr:col>
      <xdr:colOff>28575</xdr:colOff>
      <xdr:row>3</xdr:row>
      <xdr:rowOff>295275</xdr:rowOff>
    </xdr:to>
    <xdr:pic>
      <xdr:nvPicPr>
        <xdr:cNvPr id="62513" name="Image 9" descr="Icone info.jpg">
          <a:hlinkClick xmlns:r="http://schemas.openxmlformats.org/officeDocument/2006/relationships" r:id="rId8" tooltip="Fonds de roulement d'investissement"/>
        </xdr:cNvPr>
        <xdr:cNvPicPr>
          <a:picLocks noChangeAspect="1"/>
        </xdr:cNvPicPr>
      </xdr:nvPicPr>
      <xdr:blipFill>
        <a:blip xmlns:r="http://schemas.openxmlformats.org/officeDocument/2006/relationships" r:embed="rId9" cstate="print"/>
        <a:srcRect/>
        <a:stretch>
          <a:fillRect/>
        </a:stretch>
      </xdr:blipFill>
      <xdr:spPr bwMode="auto">
        <a:xfrm>
          <a:off x="8734425" y="666750"/>
          <a:ext cx="361950" cy="266700"/>
        </a:xfrm>
        <a:prstGeom prst="rect">
          <a:avLst/>
        </a:prstGeom>
        <a:noFill/>
        <a:ln w="9525">
          <a:noFill/>
          <a:miter lim="800000"/>
          <a:headEnd/>
          <a:tailEnd/>
        </a:ln>
      </xdr:spPr>
    </xdr:pic>
    <xdr:clientData/>
  </xdr:twoCellAnchor>
  <xdr:twoCellAnchor editAs="oneCell">
    <xdr:from>
      <xdr:col>14</xdr:col>
      <xdr:colOff>561975</xdr:colOff>
      <xdr:row>103</xdr:row>
      <xdr:rowOff>9525</xdr:rowOff>
    </xdr:from>
    <xdr:to>
      <xdr:col>15</xdr:col>
      <xdr:colOff>28575</xdr:colOff>
      <xdr:row>103</xdr:row>
      <xdr:rowOff>295275</xdr:rowOff>
    </xdr:to>
    <xdr:pic>
      <xdr:nvPicPr>
        <xdr:cNvPr id="62514" name="Image 22" descr="Icone info.jpg">
          <a:hlinkClick xmlns:r="http://schemas.openxmlformats.org/officeDocument/2006/relationships" r:id="rId10" tooltip="Résultat net de l'exercice"/>
        </xdr:cNvPr>
        <xdr:cNvPicPr>
          <a:picLocks noChangeAspect="1"/>
        </xdr:cNvPicPr>
      </xdr:nvPicPr>
      <xdr:blipFill>
        <a:blip xmlns:r="http://schemas.openxmlformats.org/officeDocument/2006/relationships" r:embed="rId5" cstate="print"/>
        <a:srcRect/>
        <a:stretch>
          <a:fillRect/>
        </a:stretch>
      </xdr:blipFill>
      <xdr:spPr bwMode="auto">
        <a:xfrm>
          <a:off x="8715375" y="23374350"/>
          <a:ext cx="381000" cy="285750"/>
        </a:xfrm>
        <a:prstGeom prst="rect">
          <a:avLst/>
        </a:prstGeom>
        <a:noFill/>
        <a:ln w="9525">
          <a:noFill/>
          <a:miter lim="800000"/>
          <a:headEnd/>
          <a:tailEnd/>
        </a:ln>
      </xdr:spPr>
    </xdr:pic>
    <xdr:clientData/>
  </xdr:twoCellAnchor>
  <xdr:twoCellAnchor editAs="oneCell">
    <xdr:from>
      <xdr:col>14</xdr:col>
      <xdr:colOff>571500</xdr:colOff>
      <xdr:row>92</xdr:row>
      <xdr:rowOff>9525</xdr:rowOff>
    </xdr:from>
    <xdr:to>
      <xdr:col>15</xdr:col>
      <xdr:colOff>38100</xdr:colOff>
      <xdr:row>92</xdr:row>
      <xdr:rowOff>295275</xdr:rowOff>
    </xdr:to>
    <xdr:pic>
      <xdr:nvPicPr>
        <xdr:cNvPr id="62515" name="Image 22" descr="Icone info.jpg">
          <a:hlinkClick xmlns:r="http://schemas.openxmlformats.org/officeDocument/2006/relationships" r:id="rId11" tooltip="Taux de vétusté des équipements"/>
        </xdr:cNvPr>
        <xdr:cNvPicPr>
          <a:picLocks noChangeAspect="1"/>
        </xdr:cNvPicPr>
      </xdr:nvPicPr>
      <xdr:blipFill>
        <a:blip xmlns:r="http://schemas.openxmlformats.org/officeDocument/2006/relationships" r:embed="rId5" cstate="print"/>
        <a:srcRect/>
        <a:stretch>
          <a:fillRect/>
        </a:stretch>
      </xdr:blipFill>
      <xdr:spPr bwMode="auto">
        <a:xfrm>
          <a:off x="8724900" y="20878800"/>
          <a:ext cx="381000" cy="285750"/>
        </a:xfrm>
        <a:prstGeom prst="rect">
          <a:avLst/>
        </a:prstGeom>
        <a:noFill/>
        <a:ln w="9525">
          <a:noFill/>
          <a:miter lim="800000"/>
          <a:headEnd/>
          <a:tailEnd/>
        </a:ln>
      </xdr:spPr>
    </xdr:pic>
    <xdr:clientData/>
  </xdr:twoCellAnchor>
  <xdr:twoCellAnchor editAs="oneCell">
    <xdr:from>
      <xdr:col>14</xdr:col>
      <xdr:colOff>590550</xdr:colOff>
      <xdr:row>81</xdr:row>
      <xdr:rowOff>9525</xdr:rowOff>
    </xdr:from>
    <xdr:to>
      <xdr:col>15</xdr:col>
      <xdr:colOff>57150</xdr:colOff>
      <xdr:row>81</xdr:row>
      <xdr:rowOff>295275</xdr:rowOff>
    </xdr:to>
    <xdr:pic>
      <xdr:nvPicPr>
        <xdr:cNvPr id="62516" name="Image 22" descr="Icone info.jpg">
          <a:hlinkClick xmlns:r="http://schemas.openxmlformats.org/officeDocument/2006/relationships" r:id="rId12" tooltip="Taux de vétusté des constructions"/>
        </xdr:cNvPr>
        <xdr:cNvPicPr>
          <a:picLocks noChangeAspect="1"/>
        </xdr:cNvPicPr>
      </xdr:nvPicPr>
      <xdr:blipFill>
        <a:blip xmlns:r="http://schemas.openxmlformats.org/officeDocument/2006/relationships" r:embed="rId5" cstate="print"/>
        <a:srcRect/>
        <a:stretch>
          <a:fillRect/>
        </a:stretch>
      </xdr:blipFill>
      <xdr:spPr bwMode="auto">
        <a:xfrm>
          <a:off x="8743950" y="18383250"/>
          <a:ext cx="381000" cy="285750"/>
        </a:xfrm>
        <a:prstGeom prst="rect">
          <a:avLst/>
        </a:prstGeom>
        <a:noFill/>
        <a:ln w="9525">
          <a:noFill/>
          <a:miter lim="800000"/>
          <a:headEnd/>
          <a:tailEnd/>
        </a:ln>
      </xdr:spPr>
    </xdr:pic>
    <xdr:clientData/>
  </xdr:twoCellAnchor>
  <xdr:twoCellAnchor editAs="oneCell">
    <xdr:from>
      <xdr:col>14</xdr:col>
      <xdr:colOff>609600</xdr:colOff>
      <xdr:row>70</xdr:row>
      <xdr:rowOff>19050</xdr:rowOff>
    </xdr:from>
    <xdr:to>
      <xdr:col>15</xdr:col>
      <xdr:colOff>76200</xdr:colOff>
      <xdr:row>70</xdr:row>
      <xdr:rowOff>304800</xdr:rowOff>
    </xdr:to>
    <xdr:pic>
      <xdr:nvPicPr>
        <xdr:cNvPr id="62517" name="Image 22" descr="Icone info.jpg">
          <a:hlinkClick xmlns:r="http://schemas.openxmlformats.org/officeDocument/2006/relationships" r:id="rId13" tooltip="Taux d'apurement de la dette"/>
        </xdr:cNvPr>
        <xdr:cNvPicPr>
          <a:picLocks noChangeAspect="1"/>
        </xdr:cNvPicPr>
      </xdr:nvPicPr>
      <xdr:blipFill>
        <a:blip xmlns:r="http://schemas.openxmlformats.org/officeDocument/2006/relationships" r:embed="rId5" cstate="print"/>
        <a:srcRect/>
        <a:stretch>
          <a:fillRect/>
        </a:stretch>
      </xdr:blipFill>
      <xdr:spPr bwMode="auto">
        <a:xfrm>
          <a:off x="8763000" y="15897225"/>
          <a:ext cx="381000" cy="285750"/>
        </a:xfrm>
        <a:prstGeom prst="rect">
          <a:avLst/>
        </a:prstGeom>
        <a:noFill/>
        <a:ln w="9525">
          <a:noFill/>
          <a:miter lim="800000"/>
          <a:headEnd/>
          <a:tailEnd/>
        </a:ln>
      </xdr:spPr>
    </xdr:pic>
    <xdr:clientData/>
  </xdr:twoCellAnchor>
  <xdr:twoCellAnchor>
    <xdr:from>
      <xdr:col>12</xdr:col>
      <xdr:colOff>466725</xdr:colOff>
      <xdr:row>111</xdr:row>
      <xdr:rowOff>142875</xdr:rowOff>
    </xdr:from>
    <xdr:to>
      <xdr:col>16</xdr:col>
      <xdr:colOff>63954</xdr:colOff>
      <xdr:row>114</xdr:row>
      <xdr:rowOff>32998</xdr:rowOff>
    </xdr:to>
    <xdr:sp macro="" textlink="">
      <xdr:nvSpPr>
        <xdr:cNvPr id="12" name="Rectangle à coins arrondis 11">
          <a:hlinkClick xmlns:r="http://schemas.openxmlformats.org/officeDocument/2006/relationships" r:id="rId14" tooltip="Compléter le Plan Pluriannuel de Financement"/>
        </xdr:cNvPr>
        <xdr:cNvSpPr/>
      </xdr:nvSpPr>
      <xdr:spPr>
        <a:xfrm>
          <a:off x="7486650" y="21993225"/>
          <a:ext cx="1864179" cy="518773"/>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100" b="1">
              <a:solidFill>
                <a:schemeClr val="lt1"/>
              </a:solidFill>
              <a:latin typeface="+mn-lt"/>
              <a:ea typeface="+mn-ea"/>
              <a:cs typeface="+mn-cs"/>
            </a:rPr>
            <a:t>5) </a:t>
          </a:r>
          <a:r>
            <a:rPr lang="fr-FR" sz="1100" b="0">
              <a:solidFill>
                <a:schemeClr val="lt1"/>
              </a:solidFill>
              <a:latin typeface="+mn-lt"/>
              <a:ea typeface="+mn-ea"/>
              <a:cs typeface="+mn-cs"/>
            </a:rPr>
            <a:t>Calcul des indicateurs - </a:t>
          </a:r>
          <a:r>
            <a:rPr lang="fr-FR" sz="1100" b="1">
              <a:solidFill>
                <a:sysClr val="windowText" lastClr="000000"/>
              </a:solidFill>
              <a:latin typeface="+mn-lt"/>
              <a:ea typeface="+mn-ea"/>
              <a:cs typeface="+mn-cs"/>
            </a:rPr>
            <a:t>Restitutions</a:t>
          </a:r>
          <a:r>
            <a:rPr lang="fr-FR" sz="1100" b="1" baseline="0">
              <a:solidFill>
                <a:sysClr val="windowText" lastClr="000000"/>
              </a:solidFill>
              <a:latin typeface="+mn-lt"/>
              <a:ea typeface="+mn-ea"/>
              <a:cs typeface="+mn-cs"/>
            </a:rPr>
            <a:t> (2)</a:t>
          </a:r>
          <a:endParaRPr lang="fr-FR" sz="1100" b="1">
            <a:solidFill>
              <a:sysClr val="windowText" lastClr="000000"/>
            </a:solidFill>
            <a:latin typeface="+mn-lt"/>
            <a:ea typeface="+mn-ea"/>
            <a:cs typeface="+mn-cs"/>
          </a:endParaRPr>
        </a:p>
      </xdr:txBody>
    </xdr:sp>
    <xdr:clientData/>
  </xdr:twoCellAnchor>
  <xdr:twoCellAnchor editAs="oneCell">
    <xdr:from>
      <xdr:col>14</xdr:col>
      <xdr:colOff>609600</xdr:colOff>
      <xdr:row>59</xdr:row>
      <xdr:rowOff>19050</xdr:rowOff>
    </xdr:from>
    <xdr:to>
      <xdr:col>15</xdr:col>
      <xdr:colOff>57150</xdr:colOff>
      <xdr:row>59</xdr:row>
      <xdr:rowOff>257175</xdr:rowOff>
    </xdr:to>
    <xdr:pic>
      <xdr:nvPicPr>
        <xdr:cNvPr id="62519" name="Image 22" descr="Icone info.jpg">
          <a:hlinkClick xmlns:r="http://schemas.openxmlformats.org/officeDocument/2006/relationships" r:id="rId15" tooltip="Taux d'apurement de la dette"/>
        </xdr:cNvPr>
        <xdr:cNvPicPr>
          <a:picLocks noChangeAspect="1"/>
        </xdr:cNvPicPr>
      </xdr:nvPicPr>
      <xdr:blipFill>
        <a:blip xmlns:r="http://schemas.openxmlformats.org/officeDocument/2006/relationships" r:embed="rId16" cstate="print"/>
        <a:srcRect/>
        <a:stretch>
          <a:fillRect/>
        </a:stretch>
      </xdr:blipFill>
      <xdr:spPr bwMode="auto">
        <a:xfrm>
          <a:off x="8763000" y="13420725"/>
          <a:ext cx="361950" cy="2381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85725</xdr:colOff>
      <xdr:row>8</xdr:row>
      <xdr:rowOff>66675</xdr:rowOff>
    </xdr:from>
    <xdr:to>
      <xdr:col>16</xdr:col>
      <xdr:colOff>400050</xdr:colOff>
      <xdr:row>8</xdr:row>
      <xdr:rowOff>304800</xdr:rowOff>
    </xdr:to>
    <xdr:pic>
      <xdr:nvPicPr>
        <xdr:cNvPr id="43067" name="Image 2">
          <a:hlinkClick xmlns:r="http://schemas.openxmlformats.org/officeDocument/2006/relationships" r:id="rId1" tooltip="FRNG en euros"/>
        </xdr:cNvPr>
        <xdr:cNvPicPr>
          <a:picLocks noChangeAspect="1"/>
        </xdr:cNvPicPr>
      </xdr:nvPicPr>
      <xdr:blipFill>
        <a:blip xmlns:r="http://schemas.openxmlformats.org/officeDocument/2006/relationships" r:embed="rId2" cstate="print"/>
        <a:srcRect/>
        <a:stretch>
          <a:fillRect/>
        </a:stretch>
      </xdr:blipFill>
      <xdr:spPr bwMode="auto">
        <a:xfrm>
          <a:off x="10287000" y="1800225"/>
          <a:ext cx="314325" cy="238125"/>
        </a:xfrm>
        <a:prstGeom prst="rect">
          <a:avLst/>
        </a:prstGeom>
        <a:noFill/>
        <a:ln w="9525">
          <a:noFill/>
          <a:miter lim="800000"/>
          <a:headEnd/>
          <a:tailEnd/>
        </a:ln>
      </xdr:spPr>
    </xdr:pic>
    <xdr:clientData/>
  </xdr:twoCellAnchor>
  <xdr:twoCellAnchor editAs="oneCell">
    <xdr:from>
      <xdr:col>16</xdr:col>
      <xdr:colOff>85725</xdr:colOff>
      <xdr:row>9</xdr:row>
      <xdr:rowOff>57150</xdr:rowOff>
    </xdr:from>
    <xdr:to>
      <xdr:col>16</xdr:col>
      <xdr:colOff>400050</xdr:colOff>
      <xdr:row>9</xdr:row>
      <xdr:rowOff>295275</xdr:rowOff>
    </xdr:to>
    <xdr:pic>
      <xdr:nvPicPr>
        <xdr:cNvPr id="43068" name="Image 4">
          <a:hlinkClick xmlns:r="http://schemas.openxmlformats.org/officeDocument/2006/relationships" r:id="rId3" tooltip="BFR ou EFE en euros"/>
        </xdr:cNvPr>
        <xdr:cNvPicPr>
          <a:picLocks noChangeAspect="1"/>
        </xdr:cNvPicPr>
      </xdr:nvPicPr>
      <xdr:blipFill>
        <a:blip xmlns:r="http://schemas.openxmlformats.org/officeDocument/2006/relationships" r:embed="rId2" cstate="print"/>
        <a:srcRect/>
        <a:stretch>
          <a:fillRect/>
        </a:stretch>
      </xdr:blipFill>
      <xdr:spPr bwMode="auto">
        <a:xfrm>
          <a:off x="10287000" y="2105025"/>
          <a:ext cx="314325" cy="238125"/>
        </a:xfrm>
        <a:prstGeom prst="rect">
          <a:avLst/>
        </a:prstGeom>
        <a:noFill/>
        <a:ln w="9525">
          <a:noFill/>
          <a:miter lim="800000"/>
          <a:headEnd/>
          <a:tailEnd/>
        </a:ln>
      </xdr:spPr>
    </xdr:pic>
    <xdr:clientData/>
  </xdr:twoCellAnchor>
  <xdr:twoCellAnchor editAs="oneCell">
    <xdr:from>
      <xdr:col>16</xdr:col>
      <xdr:colOff>76200</xdr:colOff>
      <xdr:row>10</xdr:row>
      <xdr:rowOff>47625</xdr:rowOff>
    </xdr:from>
    <xdr:to>
      <xdr:col>16</xdr:col>
      <xdr:colOff>390525</xdr:colOff>
      <xdr:row>10</xdr:row>
      <xdr:rowOff>285750</xdr:rowOff>
    </xdr:to>
    <xdr:pic>
      <xdr:nvPicPr>
        <xdr:cNvPr id="43069" name="Image 6">
          <a:hlinkClick xmlns:r="http://schemas.openxmlformats.org/officeDocument/2006/relationships" r:id="rId4" tooltip="Trésorerie nette en euros"/>
        </xdr:cNvPr>
        <xdr:cNvPicPr>
          <a:picLocks noChangeAspect="1"/>
        </xdr:cNvPicPr>
      </xdr:nvPicPr>
      <xdr:blipFill>
        <a:blip xmlns:r="http://schemas.openxmlformats.org/officeDocument/2006/relationships" r:embed="rId2" cstate="print"/>
        <a:srcRect/>
        <a:stretch>
          <a:fillRect/>
        </a:stretch>
      </xdr:blipFill>
      <xdr:spPr bwMode="auto">
        <a:xfrm>
          <a:off x="10277475" y="2409825"/>
          <a:ext cx="314325" cy="238125"/>
        </a:xfrm>
        <a:prstGeom prst="rect">
          <a:avLst/>
        </a:prstGeom>
        <a:noFill/>
        <a:ln w="9525">
          <a:noFill/>
          <a:miter lim="800000"/>
          <a:headEnd/>
          <a:tailEnd/>
        </a:ln>
      </xdr:spPr>
    </xdr:pic>
    <xdr:clientData/>
  </xdr:twoCellAnchor>
  <xdr:twoCellAnchor editAs="oneCell">
    <xdr:from>
      <xdr:col>16</xdr:col>
      <xdr:colOff>76200</xdr:colOff>
      <xdr:row>6</xdr:row>
      <xdr:rowOff>57150</xdr:rowOff>
    </xdr:from>
    <xdr:to>
      <xdr:col>16</xdr:col>
      <xdr:colOff>390525</xdr:colOff>
      <xdr:row>6</xdr:row>
      <xdr:rowOff>295275</xdr:rowOff>
    </xdr:to>
    <xdr:pic>
      <xdr:nvPicPr>
        <xdr:cNvPr id="43070" name="Image 12">
          <a:hlinkClick xmlns:r="http://schemas.openxmlformats.org/officeDocument/2006/relationships" r:id="rId5" tooltip="Fonds de roulement d'investissement"/>
        </xdr:cNvPr>
        <xdr:cNvPicPr>
          <a:picLocks noChangeAspect="1"/>
        </xdr:cNvPicPr>
      </xdr:nvPicPr>
      <xdr:blipFill>
        <a:blip xmlns:r="http://schemas.openxmlformats.org/officeDocument/2006/relationships" r:embed="rId2" cstate="print"/>
        <a:srcRect/>
        <a:stretch>
          <a:fillRect/>
        </a:stretch>
      </xdr:blipFill>
      <xdr:spPr bwMode="auto">
        <a:xfrm>
          <a:off x="10277475" y="1162050"/>
          <a:ext cx="314325" cy="238125"/>
        </a:xfrm>
        <a:prstGeom prst="rect">
          <a:avLst/>
        </a:prstGeom>
        <a:noFill/>
        <a:ln w="9525">
          <a:noFill/>
          <a:miter lim="800000"/>
          <a:headEnd/>
          <a:tailEnd/>
        </a:ln>
      </xdr:spPr>
    </xdr:pic>
    <xdr:clientData/>
  </xdr:twoCellAnchor>
  <xdr:twoCellAnchor editAs="oneCell">
    <xdr:from>
      <xdr:col>16</xdr:col>
      <xdr:colOff>85725</xdr:colOff>
      <xdr:row>7</xdr:row>
      <xdr:rowOff>47625</xdr:rowOff>
    </xdr:from>
    <xdr:to>
      <xdr:col>16</xdr:col>
      <xdr:colOff>400050</xdr:colOff>
      <xdr:row>7</xdr:row>
      <xdr:rowOff>285750</xdr:rowOff>
    </xdr:to>
    <xdr:pic>
      <xdr:nvPicPr>
        <xdr:cNvPr id="43071" name="Image 13">
          <a:hlinkClick xmlns:r="http://schemas.openxmlformats.org/officeDocument/2006/relationships" r:id="rId6" tooltip="Fonds de roulement d'exploitation"/>
        </xdr:cNvPr>
        <xdr:cNvPicPr>
          <a:picLocks noChangeAspect="1"/>
        </xdr:cNvPicPr>
      </xdr:nvPicPr>
      <xdr:blipFill>
        <a:blip xmlns:r="http://schemas.openxmlformats.org/officeDocument/2006/relationships" r:embed="rId2" cstate="print"/>
        <a:srcRect/>
        <a:stretch>
          <a:fillRect/>
        </a:stretch>
      </xdr:blipFill>
      <xdr:spPr bwMode="auto">
        <a:xfrm>
          <a:off x="10287000" y="1466850"/>
          <a:ext cx="314325" cy="238125"/>
        </a:xfrm>
        <a:prstGeom prst="rect">
          <a:avLst/>
        </a:prstGeom>
        <a:noFill/>
        <a:ln w="9525">
          <a:noFill/>
          <a:miter lim="800000"/>
          <a:headEnd/>
          <a:tailEnd/>
        </a:ln>
      </xdr:spPr>
    </xdr:pic>
    <xdr:clientData/>
  </xdr:twoCellAnchor>
  <xdr:twoCellAnchor>
    <xdr:from>
      <xdr:col>4</xdr:col>
      <xdr:colOff>76200</xdr:colOff>
      <xdr:row>11</xdr:row>
      <xdr:rowOff>133350</xdr:rowOff>
    </xdr:from>
    <xdr:to>
      <xdr:col>15</xdr:col>
      <xdr:colOff>152400</xdr:colOff>
      <xdr:row>21</xdr:row>
      <xdr:rowOff>85725</xdr:rowOff>
    </xdr:to>
    <xdr:graphicFrame macro="">
      <xdr:nvGraphicFramePr>
        <xdr:cNvPr id="43072"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133350</xdr:colOff>
      <xdr:row>0</xdr:row>
      <xdr:rowOff>161925</xdr:rowOff>
    </xdr:from>
    <xdr:to>
      <xdr:col>2</xdr:col>
      <xdr:colOff>408517</xdr:colOff>
      <xdr:row>2</xdr:row>
      <xdr:rowOff>88900</xdr:rowOff>
    </xdr:to>
    <xdr:sp macro="" textlink="">
      <xdr:nvSpPr>
        <xdr:cNvPr id="19" name="Rectangle à coins arrondis 18">
          <a:hlinkClick xmlns:r="http://schemas.openxmlformats.org/officeDocument/2006/relationships" r:id="rId8" tooltip="Retour MENU"/>
        </xdr:cNvPr>
        <xdr:cNvSpPr/>
      </xdr:nvSpPr>
      <xdr:spPr>
        <a:xfrm>
          <a:off x="133350" y="161925"/>
          <a:ext cx="656167" cy="34607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editAs="oneCell">
    <xdr:from>
      <xdr:col>16</xdr:col>
      <xdr:colOff>66675</xdr:colOff>
      <xdr:row>65</xdr:row>
      <xdr:rowOff>47625</xdr:rowOff>
    </xdr:from>
    <xdr:to>
      <xdr:col>16</xdr:col>
      <xdr:colOff>381000</xdr:colOff>
      <xdr:row>65</xdr:row>
      <xdr:rowOff>285750</xdr:rowOff>
    </xdr:to>
    <xdr:pic>
      <xdr:nvPicPr>
        <xdr:cNvPr id="43074" name="Image 10">
          <a:hlinkClick xmlns:r="http://schemas.openxmlformats.org/officeDocument/2006/relationships" r:id="rId9" tooltip="Résultat prévisionnel de l'exercice (résultat net)"/>
        </xdr:cNvPr>
        <xdr:cNvPicPr>
          <a:picLocks noChangeAspect="1"/>
        </xdr:cNvPicPr>
      </xdr:nvPicPr>
      <xdr:blipFill>
        <a:blip xmlns:r="http://schemas.openxmlformats.org/officeDocument/2006/relationships" r:embed="rId2" cstate="print"/>
        <a:srcRect/>
        <a:stretch>
          <a:fillRect/>
        </a:stretch>
      </xdr:blipFill>
      <xdr:spPr bwMode="auto">
        <a:xfrm>
          <a:off x="10267950" y="14001750"/>
          <a:ext cx="314325" cy="238125"/>
        </a:xfrm>
        <a:prstGeom prst="rect">
          <a:avLst/>
        </a:prstGeom>
        <a:noFill/>
        <a:ln w="9525">
          <a:noFill/>
          <a:miter lim="800000"/>
          <a:headEnd/>
          <a:tailEnd/>
        </a:ln>
      </xdr:spPr>
    </xdr:pic>
    <xdr:clientData/>
  </xdr:twoCellAnchor>
  <xdr:twoCellAnchor>
    <xdr:from>
      <xdr:col>4</xdr:col>
      <xdr:colOff>9525</xdr:colOff>
      <xdr:row>46</xdr:row>
      <xdr:rowOff>19050</xdr:rowOff>
    </xdr:from>
    <xdr:to>
      <xdr:col>15</xdr:col>
      <xdr:colOff>180975</xdr:colOff>
      <xdr:row>59</xdr:row>
      <xdr:rowOff>161925</xdr:rowOff>
    </xdr:to>
    <xdr:graphicFrame macro="">
      <xdr:nvGraphicFramePr>
        <xdr:cNvPr id="4307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16</xdr:col>
      <xdr:colOff>19050</xdr:colOff>
      <xdr:row>43</xdr:row>
      <xdr:rowOff>9525</xdr:rowOff>
    </xdr:from>
    <xdr:to>
      <xdr:col>16</xdr:col>
      <xdr:colOff>333375</xdr:colOff>
      <xdr:row>43</xdr:row>
      <xdr:rowOff>247650</xdr:rowOff>
    </xdr:to>
    <xdr:pic>
      <xdr:nvPicPr>
        <xdr:cNvPr id="43076" name="Image 6">
          <a:hlinkClick xmlns:r="http://schemas.openxmlformats.org/officeDocument/2006/relationships" r:id="rId11" tooltip="Taux de vétusté des constructions"/>
        </xdr:cNvPr>
        <xdr:cNvPicPr>
          <a:picLocks noChangeAspect="1"/>
        </xdr:cNvPicPr>
      </xdr:nvPicPr>
      <xdr:blipFill>
        <a:blip xmlns:r="http://schemas.openxmlformats.org/officeDocument/2006/relationships" r:embed="rId2" cstate="print"/>
        <a:srcRect/>
        <a:stretch>
          <a:fillRect/>
        </a:stretch>
      </xdr:blipFill>
      <xdr:spPr bwMode="auto">
        <a:xfrm>
          <a:off x="10220325" y="9296400"/>
          <a:ext cx="314325" cy="238125"/>
        </a:xfrm>
        <a:prstGeom prst="rect">
          <a:avLst/>
        </a:prstGeom>
        <a:noFill/>
        <a:ln w="9525">
          <a:noFill/>
          <a:miter lim="800000"/>
          <a:headEnd/>
          <a:tailEnd/>
        </a:ln>
      </xdr:spPr>
    </xdr:pic>
    <xdr:clientData/>
  </xdr:twoCellAnchor>
  <xdr:twoCellAnchor editAs="oneCell">
    <xdr:from>
      <xdr:col>16</xdr:col>
      <xdr:colOff>19050</xdr:colOff>
      <xdr:row>44</xdr:row>
      <xdr:rowOff>38100</xdr:rowOff>
    </xdr:from>
    <xdr:to>
      <xdr:col>16</xdr:col>
      <xdr:colOff>333375</xdr:colOff>
      <xdr:row>44</xdr:row>
      <xdr:rowOff>276225</xdr:rowOff>
    </xdr:to>
    <xdr:pic>
      <xdr:nvPicPr>
        <xdr:cNvPr id="43077" name="Image 6">
          <a:hlinkClick xmlns:r="http://schemas.openxmlformats.org/officeDocument/2006/relationships" r:id="rId12" tooltip="Taux de vétusté des équipements"/>
        </xdr:cNvPr>
        <xdr:cNvPicPr>
          <a:picLocks noChangeAspect="1"/>
        </xdr:cNvPicPr>
      </xdr:nvPicPr>
      <xdr:blipFill>
        <a:blip xmlns:r="http://schemas.openxmlformats.org/officeDocument/2006/relationships" r:embed="rId2" cstate="print"/>
        <a:srcRect/>
        <a:stretch>
          <a:fillRect/>
        </a:stretch>
      </xdr:blipFill>
      <xdr:spPr bwMode="auto">
        <a:xfrm>
          <a:off x="10220325" y="9639300"/>
          <a:ext cx="314325" cy="238125"/>
        </a:xfrm>
        <a:prstGeom prst="rect">
          <a:avLst/>
        </a:prstGeom>
        <a:noFill/>
        <a:ln w="9525">
          <a:noFill/>
          <a:miter lim="800000"/>
          <a:headEnd/>
          <a:tailEnd/>
        </a:ln>
      </xdr:spPr>
    </xdr:pic>
    <xdr:clientData/>
  </xdr:twoCellAnchor>
  <xdr:twoCellAnchor>
    <xdr:from>
      <xdr:col>5</xdr:col>
      <xdr:colOff>142875</xdr:colOff>
      <xdr:row>27</xdr:row>
      <xdr:rowOff>95250</xdr:rowOff>
    </xdr:from>
    <xdr:to>
      <xdr:col>14</xdr:col>
      <xdr:colOff>47625</xdr:colOff>
      <xdr:row>38</xdr:row>
      <xdr:rowOff>95250</xdr:rowOff>
    </xdr:to>
    <xdr:graphicFrame macro="">
      <xdr:nvGraphicFramePr>
        <xdr:cNvPr id="43078"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16</xdr:col>
      <xdr:colOff>0</xdr:colOff>
      <xdr:row>26</xdr:row>
      <xdr:rowOff>0</xdr:rowOff>
    </xdr:from>
    <xdr:to>
      <xdr:col>16</xdr:col>
      <xdr:colOff>314325</xdr:colOff>
      <xdr:row>26</xdr:row>
      <xdr:rowOff>238125</xdr:rowOff>
    </xdr:to>
    <xdr:pic>
      <xdr:nvPicPr>
        <xdr:cNvPr id="43079" name="Image 6">
          <a:hlinkClick xmlns:r="http://schemas.openxmlformats.org/officeDocument/2006/relationships" r:id="rId14" tooltip="Taux de vétusté des constructions"/>
        </xdr:cNvPr>
        <xdr:cNvPicPr>
          <a:picLocks noChangeAspect="1"/>
        </xdr:cNvPicPr>
      </xdr:nvPicPr>
      <xdr:blipFill>
        <a:blip xmlns:r="http://schemas.openxmlformats.org/officeDocument/2006/relationships" r:embed="rId2" cstate="print"/>
        <a:srcRect/>
        <a:stretch>
          <a:fillRect/>
        </a:stretch>
      </xdr:blipFill>
      <xdr:spPr bwMode="auto">
        <a:xfrm>
          <a:off x="10201275" y="5772150"/>
          <a:ext cx="314325" cy="238125"/>
        </a:xfrm>
        <a:prstGeom prst="rect">
          <a:avLst/>
        </a:prstGeom>
        <a:noFill/>
        <a:ln w="9525">
          <a:noFill/>
          <a:miter lim="800000"/>
          <a:headEnd/>
          <a:tailEnd/>
        </a:ln>
      </xdr:spPr>
    </xdr:pic>
    <xdr:clientData/>
  </xdr:twoCellAnchor>
  <xdr:twoCellAnchor editAs="oneCell">
    <xdr:from>
      <xdr:col>16</xdr:col>
      <xdr:colOff>0</xdr:colOff>
      <xdr:row>25</xdr:row>
      <xdr:rowOff>0</xdr:rowOff>
    </xdr:from>
    <xdr:to>
      <xdr:col>16</xdr:col>
      <xdr:colOff>314325</xdr:colOff>
      <xdr:row>25</xdr:row>
      <xdr:rowOff>238125</xdr:rowOff>
    </xdr:to>
    <xdr:pic>
      <xdr:nvPicPr>
        <xdr:cNvPr id="43080" name="Image 6">
          <a:hlinkClick xmlns:r="http://schemas.openxmlformats.org/officeDocument/2006/relationships" r:id="rId15" tooltip="Taux de vétusté des constructions"/>
        </xdr:cNvPr>
        <xdr:cNvPicPr>
          <a:picLocks noChangeAspect="1"/>
        </xdr:cNvPicPr>
      </xdr:nvPicPr>
      <xdr:blipFill>
        <a:blip xmlns:r="http://schemas.openxmlformats.org/officeDocument/2006/relationships" r:embed="rId2" cstate="print"/>
        <a:srcRect/>
        <a:stretch>
          <a:fillRect/>
        </a:stretch>
      </xdr:blipFill>
      <xdr:spPr bwMode="auto">
        <a:xfrm>
          <a:off x="10201275" y="5457825"/>
          <a:ext cx="314325" cy="2381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209550</xdr:colOff>
      <xdr:row>0</xdr:row>
      <xdr:rowOff>152400</xdr:rowOff>
    </xdr:from>
    <xdr:to>
      <xdr:col>13</xdr:col>
      <xdr:colOff>103717</xdr:colOff>
      <xdr:row>2</xdr:row>
      <xdr:rowOff>87539</xdr:rowOff>
    </xdr:to>
    <xdr:sp macro="" textlink="">
      <xdr:nvSpPr>
        <xdr:cNvPr id="2" name="Rectangle à coins arrondis 1">
          <a:hlinkClick xmlns:r="http://schemas.openxmlformats.org/officeDocument/2006/relationships" r:id="rId1" tooltip="Retour MENU"/>
        </xdr:cNvPr>
        <xdr:cNvSpPr/>
      </xdr:nvSpPr>
      <xdr:spPr>
        <a:xfrm>
          <a:off x="11630025" y="152400"/>
          <a:ext cx="656167" cy="344714"/>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228600</xdr:colOff>
      <xdr:row>0</xdr:row>
      <xdr:rowOff>114300</xdr:rowOff>
    </xdr:from>
    <xdr:to>
      <xdr:col>10</xdr:col>
      <xdr:colOff>122767</xdr:colOff>
      <xdr:row>1</xdr:row>
      <xdr:rowOff>287564</xdr:rowOff>
    </xdr:to>
    <xdr:sp macro="" textlink="">
      <xdr:nvSpPr>
        <xdr:cNvPr id="2" name="Rectangle à coins arrondis 1">
          <a:hlinkClick xmlns:r="http://schemas.openxmlformats.org/officeDocument/2006/relationships" r:id="rId1" tooltip="Retour MENU"/>
        </xdr:cNvPr>
        <xdr:cNvSpPr/>
      </xdr:nvSpPr>
      <xdr:spPr>
        <a:xfrm>
          <a:off x="7953375" y="114300"/>
          <a:ext cx="656167" cy="344714"/>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123825</xdr:rowOff>
    </xdr:from>
    <xdr:to>
      <xdr:col>0</xdr:col>
      <xdr:colOff>722842</xdr:colOff>
      <xdr:row>2</xdr:row>
      <xdr:rowOff>114300</xdr:rowOff>
    </xdr:to>
    <xdr:sp macro="" textlink="">
      <xdr:nvSpPr>
        <xdr:cNvPr id="2" name="Rectangle à coins arrondis 1">
          <a:hlinkClick xmlns:r="http://schemas.openxmlformats.org/officeDocument/2006/relationships" r:id="rId1" tooltip="Retour MENU"/>
        </xdr:cNvPr>
        <xdr:cNvSpPr/>
      </xdr:nvSpPr>
      <xdr:spPr>
        <a:xfrm>
          <a:off x="66675" y="123825"/>
          <a:ext cx="656167" cy="37147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100" b="1">
              <a:solidFill>
                <a:schemeClr val="lt1"/>
              </a:solidFill>
              <a:latin typeface="Century Gothic" pitchFamily="34" charset="0"/>
            </a:rPr>
            <a:t>MENU</a:t>
          </a:r>
          <a:endParaRPr lang="fr-FR" sz="1100" b="1">
            <a:solidFill>
              <a:sysClr val="windowText" lastClr="000000"/>
            </a:solidFill>
            <a:latin typeface="Century Gothic"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0</xdr:row>
          <xdr:rowOff>161925</xdr:rowOff>
        </xdr:from>
        <xdr:to>
          <xdr:col>5</xdr:col>
          <xdr:colOff>419100</xdr:colOff>
          <xdr:row>1</xdr:row>
          <xdr:rowOff>266700</xdr:rowOff>
        </xdr:to>
        <xdr:sp macro="" textlink="">
          <xdr:nvSpPr>
            <xdr:cNvPr id="49153" name="Option Button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0</xdr:row>
          <xdr:rowOff>152400</xdr:rowOff>
        </xdr:from>
        <xdr:to>
          <xdr:col>7</xdr:col>
          <xdr:colOff>457200</xdr:colOff>
          <xdr:row>1</xdr:row>
          <xdr:rowOff>276225</xdr:rowOff>
        </xdr:to>
        <xdr:sp macro="" textlink="">
          <xdr:nvSpPr>
            <xdr:cNvPr id="49154" name="Option Button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3114675</xdr:colOff>
      <xdr:row>54</xdr:row>
      <xdr:rowOff>66675</xdr:rowOff>
    </xdr:from>
    <xdr:to>
      <xdr:col>1</xdr:col>
      <xdr:colOff>3314700</xdr:colOff>
      <xdr:row>54</xdr:row>
      <xdr:rowOff>266700</xdr:rowOff>
    </xdr:to>
    <xdr:pic>
      <xdr:nvPicPr>
        <xdr:cNvPr id="1156" name="Image 7" descr="Info_Simple_bw.svg.png">
          <a:hlinkClick xmlns:r="http://schemas.openxmlformats.org/officeDocument/2006/relationships" r:id="rId1" tooltip="Fonds de roulement net global"/>
        </xdr:cNvPr>
        <xdr:cNvPicPr>
          <a:picLocks noChangeAspect="1"/>
        </xdr:cNvPicPr>
      </xdr:nvPicPr>
      <xdr:blipFill>
        <a:blip xmlns:r="http://schemas.openxmlformats.org/officeDocument/2006/relationships" r:embed="rId2" cstate="print"/>
        <a:srcRect/>
        <a:stretch>
          <a:fillRect/>
        </a:stretch>
      </xdr:blipFill>
      <xdr:spPr bwMode="auto">
        <a:xfrm>
          <a:off x="3495675" y="10248900"/>
          <a:ext cx="200025" cy="200025"/>
        </a:xfrm>
        <a:prstGeom prst="rect">
          <a:avLst/>
        </a:prstGeom>
        <a:noFill/>
        <a:ln w="9525">
          <a:noFill/>
          <a:miter lim="800000"/>
          <a:headEnd/>
          <a:tailEnd/>
        </a:ln>
      </xdr:spPr>
    </xdr:pic>
    <xdr:clientData/>
  </xdr:twoCellAnchor>
  <xdr:twoCellAnchor editAs="oneCell">
    <xdr:from>
      <xdr:col>1</xdr:col>
      <xdr:colOff>3257550</xdr:colOff>
      <xdr:row>52</xdr:row>
      <xdr:rowOff>38100</xdr:rowOff>
    </xdr:from>
    <xdr:to>
      <xdr:col>1</xdr:col>
      <xdr:colOff>3457575</xdr:colOff>
      <xdr:row>53</xdr:row>
      <xdr:rowOff>47625</xdr:rowOff>
    </xdr:to>
    <xdr:pic>
      <xdr:nvPicPr>
        <xdr:cNvPr id="1157" name="Image 8" descr="Info_Simple_bw.svg.png">
          <a:hlinkClick xmlns:r="http://schemas.openxmlformats.org/officeDocument/2006/relationships" r:id="rId3" tooltip="Fonds de roulement d'exploitation"/>
        </xdr:cNvPr>
        <xdr:cNvPicPr>
          <a:picLocks noChangeAspect="1"/>
        </xdr:cNvPicPr>
      </xdr:nvPicPr>
      <xdr:blipFill>
        <a:blip xmlns:r="http://schemas.openxmlformats.org/officeDocument/2006/relationships" r:embed="rId2" cstate="print"/>
        <a:srcRect/>
        <a:stretch>
          <a:fillRect/>
        </a:stretch>
      </xdr:blipFill>
      <xdr:spPr bwMode="auto">
        <a:xfrm>
          <a:off x="3638550" y="9906000"/>
          <a:ext cx="200025" cy="200025"/>
        </a:xfrm>
        <a:prstGeom prst="rect">
          <a:avLst/>
        </a:prstGeom>
        <a:noFill/>
        <a:ln w="9525">
          <a:noFill/>
          <a:miter lim="800000"/>
          <a:headEnd/>
          <a:tailEnd/>
        </a:ln>
      </xdr:spPr>
    </xdr:pic>
    <xdr:clientData/>
  </xdr:twoCellAnchor>
  <xdr:twoCellAnchor editAs="oneCell">
    <xdr:from>
      <xdr:col>5</xdr:col>
      <xdr:colOff>3171825</xdr:colOff>
      <xdr:row>52</xdr:row>
      <xdr:rowOff>28575</xdr:rowOff>
    </xdr:from>
    <xdr:to>
      <xdr:col>5</xdr:col>
      <xdr:colOff>3371850</xdr:colOff>
      <xdr:row>53</xdr:row>
      <xdr:rowOff>38100</xdr:rowOff>
    </xdr:to>
    <xdr:pic>
      <xdr:nvPicPr>
        <xdr:cNvPr id="1158" name="Image 9" descr="Info_Simple_bw.svg.png">
          <a:hlinkClick xmlns:r="http://schemas.openxmlformats.org/officeDocument/2006/relationships" r:id="rId3" tooltip="Fonds de roulement d'exploitation"/>
        </xdr:cNvPr>
        <xdr:cNvPicPr>
          <a:picLocks noChangeAspect="1"/>
        </xdr:cNvPicPr>
      </xdr:nvPicPr>
      <xdr:blipFill>
        <a:blip xmlns:r="http://schemas.openxmlformats.org/officeDocument/2006/relationships" r:embed="rId2" cstate="print"/>
        <a:srcRect/>
        <a:stretch>
          <a:fillRect/>
        </a:stretch>
      </xdr:blipFill>
      <xdr:spPr bwMode="auto">
        <a:xfrm>
          <a:off x="10410825" y="9896475"/>
          <a:ext cx="200025" cy="200025"/>
        </a:xfrm>
        <a:prstGeom prst="rect">
          <a:avLst/>
        </a:prstGeom>
        <a:noFill/>
        <a:ln w="9525">
          <a:noFill/>
          <a:miter lim="800000"/>
          <a:headEnd/>
          <a:tailEnd/>
        </a:ln>
      </xdr:spPr>
    </xdr:pic>
    <xdr:clientData/>
  </xdr:twoCellAnchor>
  <xdr:twoCellAnchor editAs="oneCell">
    <xdr:from>
      <xdr:col>5</xdr:col>
      <xdr:colOff>3057525</xdr:colOff>
      <xdr:row>54</xdr:row>
      <xdr:rowOff>76200</xdr:rowOff>
    </xdr:from>
    <xdr:to>
      <xdr:col>5</xdr:col>
      <xdr:colOff>3257550</xdr:colOff>
      <xdr:row>54</xdr:row>
      <xdr:rowOff>276225</xdr:rowOff>
    </xdr:to>
    <xdr:pic>
      <xdr:nvPicPr>
        <xdr:cNvPr id="1159" name="Image 10" descr="Info_Simple_bw.svg.png">
          <a:hlinkClick xmlns:r="http://schemas.openxmlformats.org/officeDocument/2006/relationships" r:id="rId1" tooltip="Fonds de roulement net global"/>
        </xdr:cNvPr>
        <xdr:cNvPicPr>
          <a:picLocks noChangeAspect="1"/>
        </xdr:cNvPicPr>
      </xdr:nvPicPr>
      <xdr:blipFill>
        <a:blip xmlns:r="http://schemas.openxmlformats.org/officeDocument/2006/relationships" r:embed="rId2" cstate="print"/>
        <a:srcRect/>
        <a:stretch>
          <a:fillRect/>
        </a:stretch>
      </xdr:blipFill>
      <xdr:spPr bwMode="auto">
        <a:xfrm>
          <a:off x="10296525" y="10258425"/>
          <a:ext cx="200025" cy="200025"/>
        </a:xfrm>
        <a:prstGeom prst="rect">
          <a:avLst/>
        </a:prstGeom>
        <a:noFill/>
        <a:ln w="9525">
          <a:noFill/>
          <a:miter lim="800000"/>
          <a:headEnd/>
          <a:tailEnd/>
        </a:ln>
      </xdr:spPr>
    </xdr:pic>
    <xdr:clientData/>
  </xdr:twoCellAnchor>
  <xdr:twoCellAnchor editAs="oneCell">
    <xdr:from>
      <xdr:col>1</xdr:col>
      <xdr:colOff>3371850</xdr:colOff>
      <xdr:row>37</xdr:row>
      <xdr:rowOff>28575</xdr:rowOff>
    </xdr:from>
    <xdr:to>
      <xdr:col>1</xdr:col>
      <xdr:colOff>3571875</xdr:colOff>
      <xdr:row>38</xdr:row>
      <xdr:rowOff>38100</xdr:rowOff>
    </xdr:to>
    <xdr:pic>
      <xdr:nvPicPr>
        <xdr:cNvPr id="1160" name="Image 11" descr="Info_Simple_bw.svg.png">
          <a:hlinkClick xmlns:r="http://schemas.openxmlformats.org/officeDocument/2006/relationships" r:id="rId4" tooltip="Fonds de roulement d'investissement"/>
        </xdr:cNvPr>
        <xdr:cNvPicPr>
          <a:picLocks noChangeAspect="1"/>
        </xdr:cNvPicPr>
      </xdr:nvPicPr>
      <xdr:blipFill>
        <a:blip xmlns:r="http://schemas.openxmlformats.org/officeDocument/2006/relationships" r:embed="rId2" cstate="print"/>
        <a:srcRect/>
        <a:stretch>
          <a:fillRect/>
        </a:stretch>
      </xdr:blipFill>
      <xdr:spPr bwMode="auto">
        <a:xfrm>
          <a:off x="3752850" y="7058025"/>
          <a:ext cx="200025" cy="200025"/>
        </a:xfrm>
        <a:prstGeom prst="rect">
          <a:avLst/>
        </a:prstGeom>
        <a:noFill/>
        <a:ln w="9525">
          <a:noFill/>
          <a:miter lim="800000"/>
          <a:headEnd/>
          <a:tailEnd/>
        </a:ln>
      </xdr:spPr>
    </xdr:pic>
    <xdr:clientData/>
  </xdr:twoCellAnchor>
  <xdr:twoCellAnchor editAs="oneCell">
    <xdr:from>
      <xdr:col>5</xdr:col>
      <xdr:colOff>3305175</xdr:colOff>
      <xdr:row>37</xdr:row>
      <xdr:rowOff>38100</xdr:rowOff>
    </xdr:from>
    <xdr:to>
      <xdr:col>5</xdr:col>
      <xdr:colOff>3505200</xdr:colOff>
      <xdr:row>38</xdr:row>
      <xdr:rowOff>47625</xdr:rowOff>
    </xdr:to>
    <xdr:pic>
      <xdr:nvPicPr>
        <xdr:cNvPr id="1161" name="Image 12" descr="Info_Simple_bw.svg.png">
          <a:hlinkClick xmlns:r="http://schemas.openxmlformats.org/officeDocument/2006/relationships" r:id="rId4" tooltip="Fonds de roulement d'investissement"/>
        </xdr:cNvPr>
        <xdr:cNvPicPr>
          <a:picLocks noChangeAspect="1"/>
        </xdr:cNvPicPr>
      </xdr:nvPicPr>
      <xdr:blipFill>
        <a:blip xmlns:r="http://schemas.openxmlformats.org/officeDocument/2006/relationships" r:embed="rId2" cstate="print"/>
        <a:srcRect/>
        <a:stretch>
          <a:fillRect/>
        </a:stretch>
      </xdr:blipFill>
      <xdr:spPr bwMode="auto">
        <a:xfrm>
          <a:off x="10544175" y="7067550"/>
          <a:ext cx="200025" cy="200025"/>
        </a:xfrm>
        <a:prstGeom prst="rect">
          <a:avLst/>
        </a:prstGeom>
        <a:noFill/>
        <a:ln w="9525">
          <a:noFill/>
          <a:miter lim="800000"/>
          <a:headEnd/>
          <a:tailEnd/>
        </a:ln>
      </xdr:spPr>
    </xdr:pic>
    <xdr:clientData/>
  </xdr:twoCellAnchor>
  <xdr:twoCellAnchor editAs="oneCell">
    <xdr:from>
      <xdr:col>1</xdr:col>
      <xdr:colOff>2390775</xdr:colOff>
      <xdr:row>71</xdr:row>
      <xdr:rowOff>47625</xdr:rowOff>
    </xdr:from>
    <xdr:to>
      <xdr:col>1</xdr:col>
      <xdr:colOff>2590800</xdr:colOff>
      <xdr:row>71</xdr:row>
      <xdr:rowOff>247650</xdr:rowOff>
    </xdr:to>
    <xdr:pic>
      <xdr:nvPicPr>
        <xdr:cNvPr id="1162" name="Image 13" descr="Info_Simple_bw.svg.png">
          <a:hlinkClick xmlns:r="http://schemas.openxmlformats.org/officeDocument/2006/relationships" r:id="rId5" tooltip="Besoin en fonds de roulement"/>
        </xdr:cNvPr>
        <xdr:cNvPicPr>
          <a:picLocks noChangeAspect="1"/>
        </xdr:cNvPicPr>
      </xdr:nvPicPr>
      <xdr:blipFill>
        <a:blip xmlns:r="http://schemas.openxmlformats.org/officeDocument/2006/relationships" r:embed="rId2" cstate="print"/>
        <a:srcRect/>
        <a:stretch>
          <a:fillRect/>
        </a:stretch>
      </xdr:blipFill>
      <xdr:spPr bwMode="auto">
        <a:xfrm>
          <a:off x="2771775" y="13506450"/>
          <a:ext cx="200025" cy="200025"/>
        </a:xfrm>
        <a:prstGeom prst="rect">
          <a:avLst/>
        </a:prstGeom>
        <a:noFill/>
        <a:ln w="9525">
          <a:noFill/>
          <a:miter lim="800000"/>
          <a:headEnd/>
          <a:tailEnd/>
        </a:ln>
      </xdr:spPr>
    </xdr:pic>
    <xdr:clientData/>
  </xdr:twoCellAnchor>
  <xdr:twoCellAnchor editAs="oneCell">
    <xdr:from>
      <xdr:col>5</xdr:col>
      <xdr:colOff>3276600</xdr:colOff>
      <xdr:row>71</xdr:row>
      <xdr:rowOff>38100</xdr:rowOff>
    </xdr:from>
    <xdr:to>
      <xdr:col>5</xdr:col>
      <xdr:colOff>3476625</xdr:colOff>
      <xdr:row>71</xdr:row>
      <xdr:rowOff>238125</xdr:rowOff>
    </xdr:to>
    <xdr:pic>
      <xdr:nvPicPr>
        <xdr:cNvPr id="1163" name="Image 14" descr="Info_Simple_bw.svg.png">
          <a:hlinkClick xmlns:r="http://schemas.openxmlformats.org/officeDocument/2006/relationships" r:id="rId5" tooltip="Excédent de financement d'exploitation"/>
        </xdr:cNvPr>
        <xdr:cNvPicPr>
          <a:picLocks noChangeAspect="1"/>
        </xdr:cNvPicPr>
      </xdr:nvPicPr>
      <xdr:blipFill>
        <a:blip xmlns:r="http://schemas.openxmlformats.org/officeDocument/2006/relationships" r:embed="rId2" cstate="print"/>
        <a:srcRect/>
        <a:stretch>
          <a:fillRect/>
        </a:stretch>
      </xdr:blipFill>
      <xdr:spPr bwMode="auto">
        <a:xfrm>
          <a:off x="10515600" y="13496925"/>
          <a:ext cx="200025" cy="200025"/>
        </a:xfrm>
        <a:prstGeom prst="rect">
          <a:avLst/>
        </a:prstGeom>
        <a:noFill/>
        <a:ln w="9525">
          <a:noFill/>
          <a:miter lim="800000"/>
          <a:headEnd/>
          <a:tailEnd/>
        </a:ln>
      </xdr:spPr>
    </xdr:pic>
    <xdr:clientData/>
  </xdr:twoCellAnchor>
  <xdr:twoCellAnchor editAs="oneCell">
    <xdr:from>
      <xdr:col>1</xdr:col>
      <xdr:colOff>2276475</xdr:colOff>
      <xdr:row>83</xdr:row>
      <xdr:rowOff>57150</xdr:rowOff>
    </xdr:from>
    <xdr:to>
      <xdr:col>1</xdr:col>
      <xdr:colOff>2476500</xdr:colOff>
      <xdr:row>83</xdr:row>
      <xdr:rowOff>257175</xdr:rowOff>
    </xdr:to>
    <xdr:pic>
      <xdr:nvPicPr>
        <xdr:cNvPr id="1164" name="Image 15" descr="Info_Simple_bw.svg.png">
          <a:hlinkClick xmlns:r="http://schemas.openxmlformats.org/officeDocument/2006/relationships" r:id="rId6" tooltip="Trésorerie"/>
        </xdr:cNvPr>
        <xdr:cNvPicPr>
          <a:picLocks noChangeAspect="1"/>
        </xdr:cNvPicPr>
      </xdr:nvPicPr>
      <xdr:blipFill>
        <a:blip xmlns:r="http://schemas.openxmlformats.org/officeDocument/2006/relationships" r:embed="rId2" cstate="print"/>
        <a:srcRect/>
        <a:stretch>
          <a:fillRect/>
        </a:stretch>
      </xdr:blipFill>
      <xdr:spPr bwMode="auto">
        <a:xfrm>
          <a:off x="2657475" y="15840075"/>
          <a:ext cx="200025" cy="200025"/>
        </a:xfrm>
        <a:prstGeom prst="rect">
          <a:avLst/>
        </a:prstGeom>
        <a:noFill/>
        <a:ln w="9525">
          <a:noFill/>
          <a:miter lim="800000"/>
          <a:headEnd/>
          <a:tailEnd/>
        </a:ln>
      </xdr:spPr>
    </xdr:pic>
    <xdr:clientData/>
  </xdr:twoCellAnchor>
  <xdr:twoCellAnchor editAs="oneCell">
    <xdr:from>
      <xdr:col>5</xdr:col>
      <xdr:colOff>2390775</xdr:colOff>
      <xdr:row>83</xdr:row>
      <xdr:rowOff>57150</xdr:rowOff>
    </xdr:from>
    <xdr:to>
      <xdr:col>5</xdr:col>
      <xdr:colOff>2590800</xdr:colOff>
      <xdr:row>83</xdr:row>
      <xdr:rowOff>257175</xdr:rowOff>
    </xdr:to>
    <xdr:pic>
      <xdr:nvPicPr>
        <xdr:cNvPr id="1165" name="Image 16" descr="Info_Simple_bw.svg.png">
          <a:hlinkClick xmlns:r="http://schemas.openxmlformats.org/officeDocument/2006/relationships" r:id="rId6" tooltip="Trésorerie"/>
        </xdr:cNvPr>
        <xdr:cNvPicPr>
          <a:picLocks noChangeAspect="1"/>
        </xdr:cNvPicPr>
      </xdr:nvPicPr>
      <xdr:blipFill>
        <a:blip xmlns:r="http://schemas.openxmlformats.org/officeDocument/2006/relationships" r:embed="rId2" cstate="print"/>
        <a:srcRect/>
        <a:stretch>
          <a:fillRect/>
        </a:stretch>
      </xdr:blipFill>
      <xdr:spPr bwMode="auto">
        <a:xfrm>
          <a:off x="9629775" y="15840075"/>
          <a:ext cx="200025" cy="200025"/>
        </a:xfrm>
        <a:prstGeom prst="rect">
          <a:avLst/>
        </a:prstGeom>
        <a:noFill/>
        <a:ln w="9525">
          <a:noFill/>
          <a:miter lim="800000"/>
          <a:headEnd/>
          <a:tailEnd/>
        </a:ln>
      </xdr:spPr>
    </xdr:pic>
    <xdr:clientData/>
  </xdr:twoCellAnchor>
  <xdr:twoCellAnchor>
    <xdr:from>
      <xdr:col>7</xdr:col>
      <xdr:colOff>300869</xdr:colOff>
      <xdr:row>0</xdr:row>
      <xdr:rowOff>114905</xdr:rowOff>
    </xdr:from>
    <xdr:to>
      <xdr:col>9</xdr:col>
      <xdr:colOff>36285</xdr:colOff>
      <xdr:row>2</xdr:row>
      <xdr:rowOff>51405</xdr:rowOff>
    </xdr:to>
    <xdr:sp macro="" textlink="">
      <xdr:nvSpPr>
        <xdr:cNvPr id="21" name="Rectangle à coins arrondis 20">
          <a:hlinkClick xmlns:r="http://schemas.openxmlformats.org/officeDocument/2006/relationships" r:id="rId7" tooltip="Calculer la CAF"/>
        </xdr:cNvPr>
        <xdr:cNvSpPr/>
      </xdr:nvSpPr>
      <xdr:spPr>
        <a:xfrm>
          <a:off x="12302369" y="114905"/>
          <a:ext cx="1830916" cy="426357"/>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200" b="1">
              <a:latin typeface="Century Gothic" pitchFamily="34" charset="0"/>
            </a:rPr>
            <a:t>2)</a:t>
          </a:r>
          <a:r>
            <a:rPr lang="fr-FR" sz="1200" b="1" baseline="0">
              <a:latin typeface="Century Gothic" pitchFamily="34" charset="0"/>
            </a:rPr>
            <a:t> </a:t>
          </a:r>
          <a:r>
            <a:rPr lang="fr-FR" sz="1200" b="0" baseline="0">
              <a:latin typeface="Century Gothic" pitchFamily="34" charset="0"/>
            </a:rPr>
            <a:t>Calculer la </a:t>
          </a:r>
          <a:r>
            <a:rPr lang="fr-FR" sz="1200" b="1" baseline="0">
              <a:solidFill>
                <a:sysClr val="windowText" lastClr="000000"/>
              </a:solidFill>
              <a:latin typeface="Century Gothic" pitchFamily="34" charset="0"/>
            </a:rPr>
            <a:t>CAF</a:t>
          </a:r>
          <a:endParaRPr lang="fr-FR" sz="1200" b="1">
            <a:solidFill>
              <a:sysClr val="windowText" lastClr="000000"/>
            </a:solidFill>
            <a:latin typeface="Century Gothic" pitchFamily="34" charset="0"/>
          </a:endParaRPr>
        </a:p>
      </xdr:txBody>
    </xdr:sp>
    <xdr:clientData/>
  </xdr:twoCellAnchor>
  <xdr:twoCellAnchor>
    <xdr:from>
      <xdr:col>0</xdr:col>
      <xdr:colOff>377825</xdr:colOff>
      <xdr:row>0</xdr:row>
      <xdr:rowOff>105833</xdr:rowOff>
    </xdr:from>
    <xdr:to>
      <xdr:col>1</xdr:col>
      <xdr:colOff>652992</xdr:colOff>
      <xdr:row>2</xdr:row>
      <xdr:rowOff>42333</xdr:rowOff>
    </xdr:to>
    <xdr:sp macro="" textlink="">
      <xdr:nvSpPr>
        <xdr:cNvPr id="19" name="Rectangle à coins arrondis 18">
          <a:hlinkClick xmlns:r="http://schemas.openxmlformats.org/officeDocument/2006/relationships" r:id="rId8" tooltip="Retour MENU"/>
        </xdr:cNvPr>
        <xdr:cNvSpPr/>
      </xdr:nvSpPr>
      <xdr:spPr>
        <a:xfrm>
          <a:off x="377825" y="105833"/>
          <a:ext cx="656167" cy="42227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7</xdr:col>
      <xdr:colOff>296334</xdr:colOff>
      <xdr:row>89</xdr:row>
      <xdr:rowOff>21167</xdr:rowOff>
    </xdr:from>
    <xdr:to>
      <xdr:col>9</xdr:col>
      <xdr:colOff>31750</xdr:colOff>
      <xdr:row>91</xdr:row>
      <xdr:rowOff>21166</xdr:rowOff>
    </xdr:to>
    <xdr:sp macro="" textlink="">
      <xdr:nvSpPr>
        <xdr:cNvPr id="23" name="Rectangle à coins arrondis 22">
          <a:hlinkClick xmlns:r="http://schemas.openxmlformats.org/officeDocument/2006/relationships" r:id="rId7" tooltip="Calculer la CAF"/>
        </xdr:cNvPr>
        <xdr:cNvSpPr/>
      </xdr:nvSpPr>
      <xdr:spPr>
        <a:xfrm>
          <a:off x="11916834" y="14700250"/>
          <a:ext cx="1830916" cy="423333"/>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200" b="1">
              <a:latin typeface="Century Gothic" pitchFamily="34" charset="0"/>
            </a:rPr>
            <a:t>2)</a:t>
          </a:r>
          <a:r>
            <a:rPr lang="fr-FR" sz="1200" b="1" baseline="0">
              <a:latin typeface="Century Gothic" pitchFamily="34" charset="0"/>
            </a:rPr>
            <a:t> </a:t>
          </a:r>
          <a:r>
            <a:rPr lang="fr-FR" sz="1200" b="0" baseline="0">
              <a:latin typeface="Century Gothic" pitchFamily="34" charset="0"/>
            </a:rPr>
            <a:t>Calculer la </a:t>
          </a:r>
          <a:r>
            <a:rPr lang="fr-FR" sz="1200" b="1" baseline="0">
              <a:solidFill>
                <a:sysClr val="windowText" lastClr="000000"/>
              </a:solidFill>
              <a:latin typeface="Century Gothic" pitchFamily="34" charset="0"/>
            </a:rPr>
            <a:t>CAF</a:t>
          </a:r>
          <a:endParaRPr lang="fr-FR" sz="1200" b="1">
            <a:solidFill>
              <a:sysClr val="windowText" lastClr="000000"/>
            </a:solidFill>
            <a:latin typeface="Century Gothic"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1181100</xdr:colOff>
      <xdr:row>19</xdr:row>
      <xdr:rowOff>9525</xdr:rowOff>
    </xdr:from>
    <xdr:to>
      <xdr:col>10</xdr:col>
      <xdr:colOff>28575</xdr:colOff>
      <xdr:row>20</xdr:row>
      <xdr:rowOff>177800</xdr:rowOff>
    </xdr:to>
    <xdr:sp macro="" textlink="">
      <xdr:nvSpPr>
        <xdr:cNvPr id="2" name="Rectangle à coins arrondis 1">
          <a:hlinkClick xmlns:r="http://schemas.openxmlformats.org/officeDocument/2006/relationships" r:id="rId1" tooltip="Calculer les SIG"/>
        </xdr:cNvPr>
        <xdr:cNvSpPr/>
      </xdr:nvSpPr>
      <xdr:spPr>
        <a:xfrm>
          <a:off x="7981950" y="5591175"/>
          <a:ext cx="1609725" cy="34925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200" b="1">
              <a:latin typeface="Century Gothic" pitchFamily="34" charset="0"/>
            </a:rPr>
            <a:t>3)</a:t>
          </a:r>
          <a:r>
            <a:rPr lang="fr-FR" sz="1200" b="1" baseline="0">
              <a:latin typeface="Century Gothic" pitchFamily="34" charset="0"/>
            </a:rPr>
            <a:t> </a:t>
          </a:r>
          <a:r>
            <a:rPr lang="fr-FR" sz="1200" b="0" baseline="0">
              <a:latin typeface="Century Gothic" pitchFamily="34" charset="0"/>
            </a:rPr>
            <a:t>Calculer les </a:t>
          </a:r>
          <a:r>
            <a:rPr lang="fr-FR" sz="1200" b="1" baseline="0">
              <a:solidFill>
                <a:sysClr val="windowText" lastClr="000000"/>
              </a:solidFill>
              <a:latin typeface="Century Gothic" pitchFamily="34" charset="0"/>
            </a:rPr>
            <a:t>SIG</a:t>
          </a:r>
          <a:endParaRPr lang="fr-FR" sz="1200" b="1">
            <a:solidFill>
              <a:sysClr val="windowText" lastClr="000000"/>
            </a:solidFill>
            <a:latin typeface="Century Gothic" pitchFamily="34" charset="0"/>
          </a:endParaRPr>
        </a:p>
      </xdr:txBody>
    </xdr:sp>
    <xdr:clientData/>
  </xdr:twoCellAnchor>
  <xdr:twoCellAnchor>
    <xdr:from>
      <xdr:col>0</xdr:col>
      <xdr:colOff>838200</xdr:colOff>
      <xdr:row>0</xdr:row>
      <xdr:rowOff>104775</xdr:rowOff>
    </xdr:from>
    <xdr:to>
      <xdr:col>1</xdr:col>
      <xdr:colOff>646642</xdr:colOff>
      <xdr:row>2</xdr:row>
      <xdr:rowOff>25400</xdr:rowOff>
    </xdr:to>
    <xdr:sp macro="" textlink="">
      <xdr:nvSpPr>
        <xdr:cNvPr id="3" name="Rectangle à coins arrondis 2">
          <a:hlinkClick xmlns:r="http://schemas.openxmlformats.org/officeDocument/2006/relationships" r:id="rId2" tooltip="Retour MENU"/>
        </xdr:cNvPr>
        <xdr:cNvSpPr/>
      </xdr:nvSpPr>
      <xdr:spPr>
        <a:xfrm>
          <a:off x="838200" y="104775"/>
          <a:ext cx="656167" cy="3302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editAs="oneCell">
    <xdr:from>
      <xdr:col>5</xdr:col>
      <xdr:colOff>485775</xdr:colOff>
      <xdr:row>15</xdr:row>
      <xdr:rowOff>85725</xdr:rowOff>
    </xdr:from>
    <xdr:to>
      <xdr:col>6</xdr:col>
      <xdr:colOff>104775</xdr:colOff>
      <xdr:row>15</xdr:row>
      <xdr:rowOff>371475</xdr:rowOff>
    </xdr:to>
    <xdr:pic>
      <xdr:nvPicPr>
        <xdr:cNvPr id="45075" name="Image 3" descr="Icone info.jpg">
          <a:hlinkClick xmlns:r="http://schemas.openxmlformats.org/officeDocument/2006/relationships" r:id="rId3" tooltip="Capacité d'autofinancement ou Insuffisance d'autofinancement"/>
        </xdr:cNvPr>
        <xdr:cNvPicPr>
          <a:picLocks noChangeAspect="1"/>
        </xdr:cNvPicPr>
      </xdr:nvPicPr>
      <xdr:blipFill>
        <a:blip xmlns:r="http://schemas.openxmlformats.org/officeDocument/2006/relationships" r:embed="rId4" cstate="print"/>
        <a:srcRect/>
        <a:stretch>
          <a:fillRect/>
        </a:stretch>
      </xdr:blipFill>
      <xdr:spPr bwMode="auto">
        <a:xfrm>
          <a:off x="3914775" y="4791075"/>
          <a:ext cx="381000" cy="285750"/>
        </a:xfrm>
        <a:prstGeom prst="rect">
          <a:avLst/>
        </a:prstGeom>
        <a:noFill/>
        <a:ln w="9525">
          <a:noFill/>
          <a:miter lim="800000"/>
          <a:headEnd/>
          <a:tailEnd/>
        </a:ln>
      </xdr:spPr>
    </xdr:pic>
    <xdr:clientData/>
  </xdr:twoCellAnchor>
  <xdr:twoCellAnchor>
    <xdr:from>
      <xdr:col>8</xdr:col>
      <xdr:colOff>1200150</xdr:colOff>
      <xdr:row>0</xdr:row>
      <xdr:rowOff>104775</xdr:rowOff>
    </xdr:from>
    <xdr:to>
      <xdr:col>10</xdr:col>
      <xdr:colOff>47625</xdr:colOff>
      <xdr:row>2</xdr:row>
      <xdr:rowOff>25400</xdr:rowOff>
    </xdr:to>
    <xdr:sp macro="" textlink="">
      <xdr:nvSpPr>
        <xdr:cNvPr id="6" name="Rectangle à coins arrondis 5">
          <a:hlinkClick xmlns:r="http://schemas.openxmlformats.org/officeDocument/2006/relationships" r:id="rId1" tooltip="Calculer les SIG"/>
        </xdr:cNvPr>
        <xdr:cNvSpPr/>
      </xdr:nvSpPr>
      <xdr:spPr>
        <a:xfrm>
          <a:off x="8001000" y="104775"/>
          <a:ext cx="1609725" cy="34925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200" b="1">
              <a:latin typeface="Century Gothic" pitchFamily="34" charset="0"/>
            </a:rPr>
            <a:t>3)</a:t>
          </a:r>
          <a:r>
            <a:rPr lang="fr-FR" sz="1200" b="1" baseline="0">
              <a:latin typeface="Century Gothic" pitchFamily="34" charset="0"/>
            </a:rPr>
            <a:t> </a:t>
          </a:r>
          <a:r>
            <a:rPr lang="fr-FR" sz="1200" b="0" baseline="0">
              <a:latin typeface="Century Gothic" pitchFamily="34" charset="0"/>
            </a:rPr>
            <a:t>Calculer les </a:t>
          </a:r>
          <a:r>
            <a:rPr lang="fr-FR" sz="1200" b="1" baseline="0">
              <a:solidFill>
                <a:sysClr val="windowText" lastClr="000000"/>
              </a:solidFill>
              <a:latin typeface="Century Gothic" pitchFamily="34" charset="0"/>
            </a:rPr>
            <a:t>SIG</a:t>
          </a:r>
          <a:endParaRPr lang="fr-FR" sz="1200" b="1">
            <a:solidFill>
              <a:sysClr val="windowText" lastClr="000000"/>
            </a:solidFill>
            <a:latin typeface="Century Gothic"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971549</xdr:colOff>
      <xdr:row>62</xdr:row>
      <xdr:rowOff>28575</xdr:rowOff>
    </xdr:from>
    <xdr:to>
      <xdr:col>9</xdr:col>
      <xdr:colOff>47625</xdr:colOff>
      <xdr:row>64</xdr:row>
      <xdr:rowOff>152400</xdr:rowOff>
    </xdr:to>
    <xdr:sp macro="" textlink="">
      <xdr:nvSpPr>
        <xdr:cNvPr id="2" name="Rectangle à coins arrondis 1">
          <a:hlinkClick xmlns:r="http://schemas.openxmlformats.org/officeDocument/2006/relationships" r:id="rId1" tooltip="Calcul des indicateurs - RESTITUTIONS"/>
        </xdr:cNvPr>
        <xdr:cNvSpPr/>
      </xdr:nvSpPr>
      <xdr:spPr>
        <a:xfrm>
          <a:off x="5162549" y="11029950"/>
          <a:ext cx="1962151" cy="48577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50" b="0">
              <a:latin typeface="Century Gothic" pitchFamily="34" charset="0"/>
            </a:rPr>
            <a:t>4) Calcul des indicateurs</a:t>
          </a:r>
          <a:r>
            <a:rPr lang="fr-FR" sz="1050" b="0" baseline="0">
              <a:latin typeface="Century Gothic" pitchFamily="34" charset="0"/>
            </a:rPr>
            <a:t> - </a:t>
          </a:r>
          <a:r>
            <a:rPr lang="fr-FR" sz="1050" b="1" baseline="0">
              <a:solidFill>
                <a:sysClr val="windowText" lastClr="000000"/>
              </a:solidFill>
              <a:latin typeface="Century Gothic" pitchFamily="34" charset="0"/>
            </a:rPr>
            <a:t>Restitutions</a:t>
          </a:r>
          <a:endParaRPr lang="fr-FR" sz="1050" b="1">
            <a:solidFill>
              <a:sysClr val="windowText" lastClr="000000"/>
            </a:solidFill>
            <a:latin typeface="Century Gothic" pitchFamily="34" charset="0"/>
          </a:endParaRPr>
        </a:p>
      </xdr:txBody>
    </xdr:sp>
    <xdr:clientData/>
  </xdr:twoCellAnchor>
  <xdr:twoCellAnchor>
    <xdr:from>
      <xdr:col>1</xdr:col>
      <xdr:colOff>0</xdr:colOff>
      <xdr:row>0</xdr:row>
      <xdr:rowOff>133350</xdr:rowOff>
    </xdr:from>
    <xdr:to>
      <xdr:col>1</xdr:col>
      <xdr:colOff>656167</xdr:colOff>
      <xdr:row>2</xdr:row>
      <xdr:rowOff>25400</xdr:rowOff>
    </xdr:to>
    <xdr:sp macro="" textlink="">
      <xdr:nvSpPr>
        <xdr:cNvPr id="3" name="Rectangle à coins arrondis 2">
          <a:hlinkClick xmlns:r="http://schemas.openxmlformats.org/officeDocument/2006/relationships" r:id="rId2" tooltip="Retour MENU"/>
        </xdr:cNvPr>
        <xdr:cNvSpPr/>
      </xdr:nvSpPr>
      <xdr:spPr>
        <a:xfrm>
          <a:off x="847725" y="133350"/>
          <a:ext cx="656167" cy="3302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editAs="oneCell">
    <xdr:from>
      <xdr:col>9</xdr:col>
      <xdr:colOff>57150</xdr:colOff>
      <xdr:row>32</xdr:row>
      <xdr:rowOff>19050</xdr:rowOff>
    </xdr:from>
    <xdr:to>
      <xdr:col>9</xdr:col>
      <xdr:colOff>333375</xdr:colOff>
      <xdr:row>32</xdr:row>
      <xdr:rowOff>219075</xdr:rowOff>
    </xdr:to>
    <xdr:pic>
      <xdr:nvPicPr>
        <xdr:cNvPr id="46119" name="Image 3" descr="Icone info.jpg">
          <a:hlinkClick xmlns:r="http://schemas.openxmlformats.org/officeDocument/2006/relationships" r:id="rId3" tooltip="Excédent brut d'exploitation - EBE"/>
        </xdr:cNvPr>
        <xdr:cNvPicPr>
          <a:picLocks noChangeAspect="1"/>
        </xdr:cNvPicPr>
      </xdr:nvPicPr>
      <xdr:blipFill>
        <a:blip xmlns:r="http://schemas.openxmlformats.org/officeDocument/2006/relationships" r:embed="rId4" cstate="print"/>
        <a:srcRect/>
        <a:stretch>
          <a:fillRect/>
        </a:stretch>
      </xdr:blipFill>
      <xdr:spPr bwMode="auto">
        <a:xfrm>
          <a:off x="7134225" y="5924550"/>
          <a:ext cx="276225" cy="200025"/>
        </a:xfrm>
        <a:prstGeom prst="rect">
          <a:avLst/>
        </a:prstGeom>
        <a:noFill/>
        <a:ln w="9525">
          <a:noFill/>
          <a:miter lim="800000"/>
          <a:headEnd/>
          <a:tailEnd/>
        </a:ln>
      </xdr:spPr>
    </xdr:pic>
    <xdr:clientData/>
  </xdr:twoCellAnchor>
  <xdr:twoCellAnchor editAs="oneCell">
    <xdr:from>
      <xdr:col>9</xdr:col>
      <xdr:colOff>57150</xdr:colOff>
      <xdr:row>41</xdr:row>
      <xdr:rowOff>38100</xdr:rowOff>
    </xdr:from>
    <xdr:to>
      <xdr:col>9</xdr:col>
      <xdr:colOff>333375</xdr:colOff>
      <xdr:row>41</xdr:row>
      <xdr:rowOff>238125</xdr:rowOff>
    </xdr:to>
    <xdr:pic>
      <xdr:nvPicPr>
        <xdr:cNvPr id="46120" name="Image 4" descr="Icone info.jpg">
          <a:hlinkClick xmlns:r="http://schemas.openxmlformats.org/officeDocument/2006/relationships" r:id="rId5" tooltip="Résultat d'exploitation"/>
        </xdr:cNvPr>
        <xdr:cNvPicPr>
          <a:picLocks noChangeAspect="1"/>
        </xdr:cNvPicPr>
      </xdr:nvPicPr>
      <xdr:blipFill>
        <a:blip xmlns:r="http://schemas.openxmlformats.org/officeDocument/2006/relationships" r:embed="rId4" cstate="print"/>
        <a:srcRect/>
        <a:stretch>
          <a:fillRect/>
        </a:stretch>
      </xdr:blipFill>
      <xdr:spPr bwMode="auto">
        <a:xfrm>
          <a:off x="7134225" y="7496175"/>
          <a:ext cx="276225" cy="200025"/>
        </a:xfrm>
        <a:prstGeom prst="rect">
          <a:avLst/>
        </a:prstGeom>
        <a:noFill/>
        <a:ln w="9525">
          <a:noFill/>
          <a:miter lim="800000"/>
          <a:headEnd/>
          <a:tailEnd/>
        </a:ln>
      </xdr:spPr>
    </xdr:pic>
    <xdr:clientData/>
  </xdr:twoCellAnchor>
  <xdr:twoCellAnchor editAs="oneCell">
    <xdr:from>
      <xdr:col>9</xdr:col>
      <xdr:colOff>38100</xdr:colOff>
      <xdr:row>49</xdr:row>
      <xdr:rowOff>0</xdr:rowOff>
    </xdr:from>
    <xdr:to>
      <xdr:col>9</xdr:col>
      <xdr:colOff>314325</xdr:colOff>
      <xdr:row>49</xdr:row>
      <xdr:rowOff>209550</xdr:rowOff>
    </xdr:to>
    <xdr:pic>
      <xdr:nvPicPr>
        <xdr:cNvPr id="46121" name="Image 5" descr="Icone info.jpg">
          <a:hlinkClick xmlns:r="http://schemas.openxmlformats.org/officeDocument/2006/relationships" r:id="rId6" tooltip="Résultat courant"/>
        </xdr:cNvPr>
        <xdr:cNvPicPr>
          <a:picLocks noChangeAspect="1"/>
        </xdr:cNvPicPr>
      </xdr:nvPicPr>
      <xdr:blipFill>
        <a:blip xmlns:r="http://schemas.openxmlformats.org/officeDocument/2006/relationships" r:embed="rId7" cstate="print"/>
        <a:srcRect/>
        <a:stretch>
          <a:fillRect/>
        </a:stretch>
      </xdr:blipFill>
      <xdr:spPr bwMode="auto">
        <a:xfrm>
          <a:off x="7115175" y="8829675"/>
          <a:ext cx="276225" cy="209550"/>
        </a:xfrm>
        <a:prstGeom prst="rect">
          <a:avLst/>
        </a:prstGeom>
        <a:noFill/>
        <a:ln w="9525">
          <a:noFill/>
          <a:miter lim="800000"/>
          <a:headEnd/>
          <a:tailEnd/>
        </a:ln>
      </xdr:spPr>
    </xdr:pic>
    <xdr:clientData/>
  </xdr:twoCellAnchor>
  <xdr:twoCellAnchor editAs="oneCell">
    <xdr:from>
      <xdr:col>9</xdr:col>
      <xdr:colOff>47625</xdr:colOff>
      <xdr:row>58</xdr:row>
      <xdr:rowOff>28575</xdr:rowOff>
    </xdr:from>
    <xdr:to>
      <xdr:col>9</xdr:col>
      <xdr:colOff>323850</xdr:colOff>
      <xdr:row>58</xdr:row>
      <xdr:rowOff>238125</xdr:rowOff>
    </xdr:to>
    <xdr:pic>
      <xdr:nvPicPr>
        <xdr:cNvPr id="46122" name="Image 6" descr="Icone info.jpg">
          <a:hlinkClick xmlns:r="http://schemas.openxmlformats.org/officeDocument/2006/relationships" r:id="rId8" tooltip="Résultat exceptionnel"/>
        </xdr:cNvPr>
        <xdr:cNvPicPr>
          <a:picLocks noChangeAspect="1"/>
        </xdr:cNvPicPr>
      </xdr:nvPicPr>
      <xdr:blipFill>
        <a:blip xmlns:r="http://schemas.openxmlformats.org/officeDocument/2006/relationships" r:embed="rId7" cstate="print"/>
        <a:srcRect/>
        <a:stretch>
          <a:fillRect/>
        </a:stretch>
      </xdr:blipFill>
      <xdr:spPr bwMode="auto">
        <a:xfrm>
          <a:off x="7124700" y="10410825"/>
          <a:ext cx="276225" cy="209550"/>
        </a:xfrm>
        <a:prstGeom prst="rect">
          <a:avLst/>
        </a:prstGeom>
        <a:noFill/>
        <a:ln w="9525">
          <a:noFill/>
          <a:miter lim="800000"/>
          <a:headEnd/>
          <a:tailEnd/>
        </a:ln>
      </xdr:spPr>
    </xdr:pic>
    <xdr:clientData/>
  </xdr:twoCellAnchor>
  <xdr:twoCellAnchor editAs="oneCell">
    <xdr:from>
      <xdr:col>9</xdr:col>
      <xdr:colOff>47625</xdr:colOff>
      <xdr:row>60</xdr:row>
      <xdr:rowOff>9525</xdr:rowOff>
    </xdr:from>
    <xdr:to>
      <xdr:col>9</xdr:col>
      <xdr:colOff>323850</xdr:colOff>
      <xdr:row>60</xdr:row>
      <xdr:rowOff>219075</xdr:rowOff>
    </xdr:to>
    <xdr:pic>
      <xdr:nvPicPr>
        <xdr:cNvPr id="46123" name="Image 7" descr="Icone info.jpg">
          <a:hlinkClick xmlns:r="http://schemas.openxmlformats.org/officeDocument/2006/relationships" r:id="rId9" tooltip="Résultat net"/>
        </xdr:cNvPr>
        <xdr:cNvPicPr>
          <a:picLocks noChangeAspect="1"/>
        </xdr:cNvPicPr>
      </xdr:nvPicPr>
      <xdr:blipFill>
        <a:blip xmlns:r="http://schemas.openxmlformats.org/officeDocument/2006/relationships" r:embed="rId7" cstate="print"/>
        <a:srcRect/>
        <a:stretch>
          <a:fillRect/>
        </a:stretch>
      </xdr:blipFill>
      <xdr:spPr bwMode="auto">
        <a:xfrm>
          <a:off x="7124700" y="10763250"/>
          <a:ext cx="276225" cy="209550"/>
        </a:xfrm>
        <a:prstGeom prst="rect">
          <a:avLst/>
        </a:prstGeom>
        <a:noFill/>
        <a:ln w="9525">
          <a:noFill/>
          <a:miter lim="800000"/>
          <a:headEnd/>
          <a:tailEnd/>
        </a:ln>
      </xdr:spPr>
    </xdr:pic>
    <xdr:clientData/>
  </xdr:twoCellAnchor>
  <xdr:twoCellAnchor>
    <xdr:from>
      <xdr:col>7</xdr:col>
      <xdr:colOff>781051</xdr:colOff>
      <xdr:row>0</xdr:row>
      <xdr:rowOff>57150</xdr:rowOff>
    </xdr:from>
    <xdr:to>
      <xdr:col>9</xdr:col>
      <xdr:colOff>371475</xdr:colOff>
      <xdr:row>2</xdr:row>
      <xdr:rowOff>104775</xdr:rowOff>
    </xdr:to>
    <xdr:sp macro="" textlink="">
      <xdr:nvSpPr>
        <xdr:cNvPr id="9" name="Rectangle à coins arrondis 8">
          <a:hlinkClick xmlns:r="http://schemas.openxmlformats.org/officeDocument/2006/relationships" r:id="rId1" tooltip="Calcul des indicateurs - RESTITUTIONS (1)"/>
        </xdr:cNvPr>
        <xdr:cNvSpPr/>
      </xdr:nvSpPr>
      <xdr:spPr>
        <a:xfrm>
          <a:off x="5962651" y="57150"/>
          <a:ext cx="1485899" cy="48577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800" b="0">
              <a:latin typeface="Century Gothic" pitchFamily="34" charset="0"/>
            </a:rPr>
            <a:t>4) Calcul des indicateurs</a:t>
          </a:r>
          <a:r>
            <a:rPr lang="fr-FR" sz="800" b="0" baseline="0">
              <a:latin typeface="Century Gothic" pitchFamily="34" charset="0"/>
            </a:rPr>
            <a:t> - </a:t>
          </a:r>
          <a:r>
            <a:rPr lang="fr-FR" sz="800" b="1" baseline="0">
              <a:solidFill>
                <a:sysClr val="windowText" lastClr="000000"/>
              </a:solidFill>
              <a:latin typeface="Century Gothic" pitchFamily="34" charset="0"/>
            </a:rPr>
            <a:t>Restitutions (1)</a:t>
          </a:r>
          <a:endParaRPr lang="fr-FR" sz="800" b="1">
            <a:solidFill>
              <a:sysClr val="windowText" lastClr="000000"/>
            </a:solidFill>
            <a:latin typeface="Century Gothic" pitchFamily="34" charset="0"/>
          </a:endParaRPr>
        </a:p>
      </xdr:txBody>
    </xdr:sp>
    <xdr:clientData/>
  </xdr:twoCellAnchor>
  <xdr:twoCellAnchor>
    <xdr:from>
      <xdr:col>10</xdr:col>
      <xdr:colOff>180975</xdr:colOff>
      <xdr:row>0</xdr:row>
      <xdr:rowOff>57150</xdr:rowOff>
    </xdr:from>
    <xdr:to>
      <xdr:col>12</xdr:col>
      <xdr:colOff>142874</xdr:colOff>
      <xdr:row>2</xdr:row>
      <xdr:rowOff>104775</xdr:rowOff>
    </xdr:to>
    <xdr:sp macro="" textlink="">
      <xdr:nvSpPr>
        <xdr:cNvPr id="10" name="Rectangle à coins arrondis 9">
          <a:hlinkClick xmlns:r="http://schemas.openxmlformats.org/officeDocument/2006/relationships" r:id="rId10" tooltip="Calcul des indicateurs - RESTITUTIONS (2)"/>
        </xdr:cNvPr>
        <xdr:cNvSpPr/>
      </xdr:nvSpPr>
      <xdr:spPr>
        <a:xfrm>
          <a:off x="7772400" y="57150"/>
          <a:ext cx="1485899" cy="485775"/>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800" b="0">
              <a:latin typeface="Century Gothic" pitchFamily="34" charset="0"/>
            </a:rPr>
            <a:t>5) Calcul des indicateurs</a:t>
          </a:r>
          <a:r>
            <a:rPr lang="fr-FR" sz="800" b="0" baseline="0">
              <a:latin typeface="Century Gothic" pitchFamily="34" charset="0"/>
            </a:rPr>
            <a:t> - </a:t>
          </a:r>
          <a:r>
            <a:rPr lang="fr-FR" sz="800" b="1" baseline="0">
              <a:solidFill>
                <a:sysClr val="windowText" lastClr="000000"/>
              </a:solidFill>
              <a:latin typeface="Century Gothic" pitchFamily="34" charset="0"/>
            </a:rPr>
            <a:t>Restitutions (2)</a:t>
          </a:r>
          <a:endParaRPr lang="fr-FR" sz="800" b="1">
            <a:solidFill>
              <a:sysClr val="windowText" lastClr="000000"/>
            </a:solidFill>
            <a:latin typeface="Century Gothic" pitchFamily="34" charset="0"/>
          </a:endParaRPr>
        </a:p>
      </xdr:txBody>
    </xdr:sp>
    <xdr:clientData/>
  </xdr:twoCellAnchor>
  <xdr:twoCellAnchor editAs="oneCell">
    <xdr:from>
      <xdr:col>9</xdr:col>
      <xdr:colOff>47625</xdr:colOff>
      <xdr:row>52</xdr:row>
      <xdr:rowOff>0</xdr:rowOff>
    </xdr:from>
    <xdr:to>
      <xdr:col>9</xdr:col>
      <xdr:colOff>323850</xdr:colOff>
      <xdr:row>53</xdr:row>
      <xdr:rowOff>28575</xdr:rowOff>
    </xdr:to>
    <xdr:pic>
      <xdr:nvPicPr>
        <xdr:cNvPr id="11" name="Image 5" descr="Icone info.jpg">
          <a:hlinkClick xmlns:r="http://schemas.openxmlformats.org/officeDocument/2006/relationships" r:id="rId11" tooltip="Résultat courant"/>
        </xdr:cNvPr>
        <xdr:cNvPicPr>
          <a:picLocks noChangeAspect="1"/>
        </xdr:cNvPicPr>
      </xdr:nvPicPr>
      <xdr:blipFill>
        <a:blip xmlns:r="http://schemas.openxmlformats.org/officeDocument/2006/relationships" r:embed="rId7" cstate="print"/>
        <a:srcRect/>
        <a:stretch>
          <a:fillRect/>
        </a:stretch>
      </xdr:blipFill>
      <xdr:spPr bwMode="auto">
        <a:xfrm>
          <a:off x="7124700" y="9382125"/>
          <a:ext cx="276225" cy="209550"/>
        </a:xfrm>
        <a:prstGeom prst="rect">
          <a:avLst/>
        </a:prstGeom>
        <a:noFill/>
        <a:ln w="9525">
          <a:noFill/>
          <a:miter lim="800000"/>
          <a:headEnd/>
          <a:tailEnd/>
        </a:ln>
      </xdr:spPr>
    </xdr:pic>
    <xdr:clientData/>
  </xdr:twoCellAnchor>
  <xdr:twoCellAnchor editAs="oneCell">
    <xdr:from>
      <xdr:col>9</xdr:col>
      <xdr:colOff>47625</xdr:colOff>
      <xdr:row>55</xdr:row>
      <xdr:rowOff>19050</xdr:rowOff>
    </xdr:from>
    <xdr:to>
      <xdr:col>9</xdr:col>
      <xdr:colOff>323850</xdr:colOff>
      <xdr:row>56</xdr:row>
      <xdr:rowOff>47625</xdr:rowOff>
    </xdr:to>
    <xdr:pic>
      <xdr:nvPicPr>
        <xdr:cNvPr id="12" name="Image 5" descr="Icone info.jpg">
          <a:hlinkClick xmlns:r="http://schemas.openxmlformats.org/officeDocument/2006/relationships" r:id="rId11" tooltip="Résultat courant"/>
        </xdr:cNvPr>
        <xdr:cNvPicPr>
          <a:picLocks noChangeAspect="1"/>
        </xdr:cNvPicPr>
      </xdr:nvPicPr>
      <xdr:blipFill>
        <a:blip xmlns:r="http://schemas.openxmlformats.org/officeDocument/2006/relationships" r:embed="rId7" cstate="print"/>
        <a:srcRect/>
        <a:stretch>
          <a:fillRect/>
        </a:stretch>
      </xdr:blipFill>
      <xdr:spPr bwMode="auto">
        <a:xfrm>
          <a:off x="7124700" y="9944100"/>
          <a:ext cx="276225" cy="209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104775</xdr:colOff>
      <xdr:row>73</xdr:row>
      <xdr:rowOff>38100</xdr:rowOff>
    </xdr:from>
    <xdr:to>
      <xdr:col>10</xdr:col>
      <xdr:colOff>542925</xdr:colOff>
      <xdr:row>74</xdr:row>
      <xdr:rowOff>9525</xdr:rowOff>
    </xdr:to>
    <xdr:pic>
      <xdr:nvPicPr>
        <xdr:cNvPr id="4225" name="Image 1" descr="Icone info.jpg">
          <a:hlinkClick xmlns:r="http://schemas.openxmlformats.org/officeDocument/2006/relationships" r:id="rId1" tooltip="Taux d'indépendance financière"/>
        </xdr:cNvPr>
        <xdr:cNvPicPr>
          <a:picLocks noChangeAspect="1"/>
        </xdr:cNvPicPr>
      </xdr:nvPicPr>
      <xdr:blipFill>
        <a:blip xmlns:r="http://schemas.openxmlformats.org/officeDocument/2006/relationships" r:embed="rId2" cstate="print"/>
        <a:srcRect/>
        <a:stretch>
          <a:fillRect/>
        </a:stretch>
      </xdr:blipFill>
      <xdr:spPr bwMode="auto">
        <a:xfrm>
          <a:off x="6448425" y="14916150"/>
          <a:ext cx="438150" cy="323850"/>
        </a:xfrm>
        <a:prstGeom prst="rect">
          <a:avLst/>
        </a:prstGeom>
        <a:noFill/>
        <a:ln w="9525">
          <a:noFill/>
          <a:miter lim="800000"/>
          <a:headEnd/>
          <a:tailEnd/>
        </a:ln>
      </xdr:spPr>
    </xdr:pic>
    <xdr:clientData/>
  </xdr:twoCellAnchor>
  <xdr:twoCellAnchor editAs="oneCell">
    <xdr:from>
      <xdr:col>10</xdr:col>
      <xdr:colOff>57150</xdr:colOff>
      <xdr:row>83</xdr:row>
      <xdr:rowOff>9525</xdr:rowOff>
    </xdr:from>
    <xdr:to>
      <xdr:col>10</xdr:col>
      <xdr:colOff>495300</xdr:colOff>
      <xdr:row>83</xdr:row>
      <xdr:rowOff>333375</xdr:rowOff>
    </xdr:to>
    <xdr:pic>
      <xdr:nvPicPr>
        <xdr:cNvPr id="4226" name="Image 2" descr="Icone info.jpg">
          <a:hlinkClick xmlns:r="http://schemas.openxmlformats.org/officeDocument/2006/relationships" r:id="rId3" tooltip="Durée apparente de la dette"/>
        </xdr:cNvPr>
        <xdr:cNvPicPr>
          <a:picLocks noChangeAspect="1"/>
        </xdr:cNvPicPr>
      </xdr:nvPicPr>
      <xdr:blipFill>
        <a:blip xmlns:r="http://schemas.openxmlformats.org/officeDocument/2006/relationships" r:embed="rId4" cstate="print"/>
        <a:srcRect/>
        <a:stretch>
          <a:fillRect/>
        </a:stretch>
      </xdr:blipFill>
      <xdr:spPr bwMode="auto">
        <a:xfrm>
          <a:off x="6400800" y="16840200"/>
          <a:ext cx="438150" cy="323850"/>
        </a:xfrm>
        <a:prstGeom prst="rect">
          <a:avLst/>
        </a:prstGeom>
        <a:noFill/>
        <a:ln w="9525">
          <a:noFill/>
          <a:miter lim="800000"/>
          <a:headEnd/>
          <a:tailEnd/>
        </a:ln>
      </xdr:spPr>
    </xdr:pic>
    <xdr:clientData/>
  </xdr:twoCellAnchor>
  <xdr:twoCellAnchor editAs="oneCell">
    <xdr:from>
      <xdr:col>10</xdr:col>
      <xdr:colOff>66675</xdr:colOff>
      <xdr:row>39</xdr:row>
      <xdr:rowOff>180975</xdr:rowOff>
    </xdr:from>
    <xdr:to>
      <xdr:col>10</xdr:col>
      <xdr:colOff>504825</xdr:colOff>
      <xdr:row>40</xdr:row>
      <xdr:rowOff>152400</xdr:rowOff>
    </xdr:to>
    <xdr:pic>
      <xdr:nvPicPr>
        <xdr:cNvPr id="4227" name="Image 7" descr="Icone info.jpg">
          <a:hlinkClick xmlns:r="http://schemas.openxmlformats.org/officeDocument/2006/relationships" r:id="rId5" tooltip="Fonds de roulement net global"/>
        </xdr:cNvPr>
        <xdr:cNvPicPr>
          <a:picLocks noChangeAspect="1"/>
        </xdr:cNvPicPr>
      </xdr:nvPicPr>
      <xdr:blipFill>
        <a:blip xmlns:r="http://schemas.openxmlformats.org/officeDocument/2006/relationships" r:embed="rId4" cstate="print"/>
        <a:srcRect/>
        <a:stretch>
          <a:fillRect/>
        </a:stretch>
      </xdr:blipFill>
      <xdr:spPr bwMode="auto">
        <a:xfrm>
          <a:off x="6410325" y="7772400"/>
          <a:ext cx="438150" cy="323850"/>
        </a:xfrm>
        <a:prstGeom prst="rect">
          <a:avLst/>
        </a:prstGeom>
        <a:noFill/>
        <a:ln w="9525">
          <a:noFill/>
          <a:miter lim="800000"/>
          <a:headEnd/>
          <a:tailEnd/>
        </a:ln>
      </xdr:spPr>
    </xdr:pic>
    <xdr:clientData/>
  </xdr:twoCellAnchor>
  <xdr:twoCellAnchor editAs="oneCell">
    <xdr:from>
      <xdr:col>10</xdr:col>
      <xdr:colOff>47625</xdr:colOff>
      <xdr:row>50</xdr:row>
      <xdr:rowOff>342900</xdr:rowOff>
    </xdr:from>
    <xdr:to>
      <xdr:col>10</xdr:col>
      <xdr:colOff>485775</xdr:colOff>
      <xdr:row>51</xdr:row>
      <xdr:rowOff>323850</xdr:rowOff>
    </xdr:to>
    <xdr:pic>
      <xdr:nvPicPr>
        <xdr:cNvPr id="4228" name="Image 8" descr="Icone info.jpg">
          <a:hlinkClick xmlns:r="http://schemas.openxmlformats.org/officeDocument/2006/relationships" r:id="rId6" tooltip="Besoin en fonds de roulement"/>
        </xdr:cNvPr>
        <xdr:cNvPicPr>
          <a:picLocks noChangeAspect="1"/>
        </xdr:cNvPicPr>
      </xdr:nvPicPr>
      <xdr:blipFill>
        <a:blip xmlns:r="http://schemas.openxmlformats.org/officeDocument/2006/relationships" r:embed="rId7" cstate="print"/>
        <a:srcRect/>
        <a:stretch>
          <a:fillRect/>
        </a:stretch>
      </xdr:blipFill>
      <xdr:spPr bwMode="auto">
        <a:xfrm>
          <a:off x="6391275" y="10239375"/>
          <a:ext cx="438150" cy="333375"/>
        </a:xfrm>
        <a:prstGeom prst="rect">
          <a:avLst/>
        </a:prstGeom>
        <a:noFill/>
        <a:ln w="9525">
          <a:noFill/>
          <a:miter lim="800000"/>
          <a:headEnd/>
          <a:tailEnd/>
        </a:ln>
      </xdr:spPr>
    </xdr:pic>
    <xdr:clientData/>
  </xdr:twoCellAnchor>
  <xdr:twoCellAnchor editAs="oneCell">
    <xdr:from>
      <xdr:col>10</xdr:col>
      <xdr:colOff>47625</xdr:colOff>
      <xdr:row>62</xdr:row>
      <xdr:rowOff>200025</xdr:rowOff>
    </xdr:from>
    <xdr:to>
      <xdr:col>10</xdr:col>
      <xdr:colOff>485775</xdr:colOff>
      <xdr:row>63</xdr:row>
      <xdr:rowOff>180975</xdr:rowOff>
    </xdr:to>
    <xdr:pic>
      <xdr:nvPicPr>
        <xdr:cNvPr id="4229" name="Image 9" descr="Icone info.jpg">
          <a:hlinkClick xmlns:r="http://schemas.openxmlformats.org/officeDocument/2006/relationships" r:id="rId8" tooltip="Trésorerie nette"/>
        </xdr:cNvPr>
        <xdr:cNvPicPr>
          <a:picLocks noChangeAspect="1"/>
        </xdr:cNvPicPr>
      </xdr:nvPicPr>
      <xdr:blipFill>
        <a:blip xmlns:r="http://schemas.openxmlformats.org/officeDocument/2006/relationships" r:embed="rId7" cstate="print"/>
        <a:srcRect/>
        <a:stretch>
          <a:fillRect/>
        </a:stretch>
      </xdr:blipFill>
      <xdr:spPr bwMode="auto">
        <a:xfrm>
          <a:off x="6391275" y="12753975"/>
          <a:ext cx="438150" cy="333375"/>
        </a:xfrm>
        <a:prstGeom prst="rect">
          <a:avLst/>
        </a:prstGeom>
        <a:noFill/>
        <a:ln w="9525">
          <a:noFill/>
          <a:miter lim="800000"/>
          <a:headEnd/>
          <a:tailEnd/>
        </a:ln>
      </xdr:spPr>
    </xdr:pic>
    <xdr:clientData/>
  </xdr:twoCellAnchor>
  <xdr:twoCellAnchor editAs="oneCell">
    <xdr:from>
      <xdr:col>10</xdr:col>
      <xdr:colOff>57150</xdr:colOff>
      <xdr:row>154</xdr:row>
      <xdr:rowOff>219075</xdr:rowOff>
    </xdr:from>
    <xdr:to>
      <xdr:col>10</xdr:col>
      <xdr:colOff>495300</xdr:colOff>
      <xdr:row>155</xdr:row>
      <xdr:rowOff>200025</xdr:rowOff>
    </xdr:to>
    <xdr:pic>
      <xdr:nvPicPr>
        <xdr:cNvPr id="4230" name="Image 12" descr="Icone info.jpg">
          <a:hlinkClick xmlns:r="http://schemas.openxmlformats.org/officeDocument/2006/relationships" r:id="rId9" tooltip="Délai de rotation des créances d'exploitation"/>
        </xdr:cNvPr>
        <xdr:cNvPicPr>
          <a:picLocks noChangeAspect="1"/>
        </xdr:cNvPicPr>
      </xdr:nvPicPr>
      <xdr:blipFill>
        <a:blip xmlns:r="http://schemas.openxmlformats.org/officeDocument/2006/relationships" r:embed="rId7" cstate="print"/>
        <a:srcRect/>
        <a:stretch>
          <a:fillRect/>
        </a:stretch>
      </xdr:blipFill>
      <xdr:spPr bwMode="auto">
        <a:xfrm>
          <a:off x="6400800" y="31394400"/>
          <a:ext cx="438150" cy="333375"/>
        </a:xfrm>
        <a:prstGeom prst="rect">
          <a:avLst/>
        </a:prstGeom>
        <a:noFill/>
        <a:ln w="9525">
          <a:noFill/>
          <a:miter lim="800000"/>
          <a:headEnd/>
          <a:tailEnd/>
        </a:ln>
      </xdr:spPr>
    </xdr:pic>
    <xdr:clientData/>
  </xdr:twoCellAnchor>
  <xdr:twoCellAnchor editAs="oneCell">
    <xdr:from>
      <xdr:col>10</xdr:col>
      <xdr:colOff>66675</xdr:colOff>
      <xdr:row>165</xdr:row>
      <xdr:rowOff>219075</xdr:rowOff>
    </xdr:from>
    <xdr:to>
      <xdr:col>10</xdr:col>
      <xdr:colOff>504825</xdr:colOff>
      <xdr:row>166</xdr:row>
      <xdr:rowOff>200025</xdr:rowOff>
    </xdr:to>
    <xdr:pic>
      <xdr:nvPicPr>
        <xdr:cNvPr id="4231" name="Image 13" descr="Icone info.jpg">
          <a:hlinkClick xmlns:r="http://schemas.openxmlformats.org/officeDocument/2006/relationships" r:id="rId10" tooltip="Délai de rotation des dettes d'exploitation"/>
        </xdr:cNvPr>
        <xdr:cNvPicPr>
          <a:picLocks noChangeAspect="1"/>
        </xdr:cNvPicPr>
      </xdr:nvPicPr>
      <xdr:blipFill>
        <a:blip xmlns:r="http://schemas.openxmlformats.org/officeDocument/2006/relationships" r:embed="rId7" cstate="print"/>
        <a:srcRect/>
        <a:stretch>
          <a:fillRect/>
        </a:stretch>
      </xdr:blipFill>
      <xdr:spPr bwMode="auto">
        <a:xfrm>
          <a:off x="6410325" y="33699450"/>
          <a:ext cx="438150" cy="333375"/>
        </a:xfrm>
        <a:prstGeom prst="rect">
          <a:avLst/>
        </a:prstGeom>
        <a:noFill/>
        <a:ln w="9525">
          <a:noFill/>
          <a:miter lim="800000"/>
          <a:headEnd/>
          <a:tailEnd/>
        </a:ln>
      </xdr:spPr>
    </xdr:pic>
    <xdr:clientData/>
  </xdr:twoCellAnchor>
  <xdr:twoCellAnchor editAs="oneCell">
    <xdr:from>
      <xdr:col>10</xdr:col>
      <xdr:colOff>76200</xdr:colOff>
      <xdr:row>29</xdr:row>
      <xdr:rowOff>0</xdr:rowOff>
    </xdr:from>
    <xdr:to>
      <xdr:col>10</xdr:col>
      <xdr:colOff>514350</xdr:colOff>
      <xdr:row>29</xdr:row>
      <xdr:rowOff>323850</xdr:rowOff>
    </xdr:to>
    <xdr:pic>
      <xdr:nvPicPr>
        <xdr:cNvPr id="4232" name="Image 14" descr="Icone info.jpg">
          <a:hlinkClick xmlns:r="http://schemas.openxmlformats.org/officeDocument/2006/relationships" r:id="rId11" tooltip="Fonds de roulement d'exploitation"/>
        </xdr:cNvPr>
        <xdr:cNvPicPr>
          <a:picLocks noChangeAspect="1"/>
        </xdr:cNvPicPr>
      </xdr:nvPicPr>
      <xdr:blipFill>
        <a:blip xmlns:r="http://schemas.openxmlformats.org/officeDocument/2006/relationships" r:embed="rId2" cstate="print"/>
        <a:srcRect/>
        <a:stretch>
          <a:fillRect/>
        </a:stretch>
      </xdr:blipFill>
      <xdr:spPr bwMode="auto">
        <a:xfrm>
          <a:off x="6419850" y="5638800"/>
          <a:ext cx="438150" cy="323850"/>
        </a:xfrm>
        <a:prstGeom prst="rect">
          <a:avLst/>
        </a:prstGeom>
        <a:noFill/>
        <a:ln w="9525">
          <a:noFill/>
          <a:miter lim="800000"/>
          <a:headEnd/>
          <a:tailEnd/>
        </a:ln>
      </xdr:spPr>
    </xdr:pic>
    <xdr:clientData/>
  </xdr:twoCellAnchor>
  <xdr:twoCellAnchor editAs="oneCell">
    <xdr:from>
      <xdr:col>10</xdr:col>
      <xdr:colOff>95250</xdr:colOff>
      <xdr:row>8</xdr:row>
      <xdr:rowOff>180975</xdr:rowOff>
    </xdr:from>
    <xdr:to>
      <xdr:col>10</xdr:col>
      <xdr:colOff>533400</xdr:colOff>
      <xdr:row>9</xdr:row>
      <xdr:rowOff>152400</xdr:rowOff>
    </xdr:to>
    <xdr:pic>
      <xdr:nvPicPr>
        <xdr:cNvPr id="4233" name="Image 15" descr="Icone info.jpg">
          <a:hlinkClick xmlns:r="http://schemas.openxmlformats.org/officeDocument/2006/relationships" r:id="rId12" tooltip="Fonds de roulement d'investissement"/>
        </xdr:cNvPr>
        <xdr:cNvPicPr>
          <a:picLocks noChangeAspect="1"/>
        </xdr:cNvPicPr>
      </xdr:nvPicPr>
      <xdr:blipFill>
        <a:blip xmlns:r="http://schemas.openxmlformats.org/officeDocument/2006/relationships" r:embed="rId4" cstate="print"/>
        <a:srcRect/>
        <a:stretch>
          <a:fillRect/>
        </a:stretch>
      </xdr:blipFill>
      <xdr:spPr bwMode="auto">
        <a:xfrm>
          <a:off x="6438900" y="1562100"/>
          <a:ext cx="438150" cy="323850"/>
        </a:xfrm>
        <a:prstGeom prst="rect">
          <a:avLst/>
        </a:prstGeom>
        <a:noFill/>
        <a:ln w="9525">
          <a:noFill/>
          <a:miter lim="800000"/>
          <a:headEnd/>
          <a:tailEnd/>
        </a:ln>
      </xdr:spPr>
    </xdr:pic>
    <xdr:clientData/>
  </xdr:twoCellAnchor>
  <xdr:twoCellAnchor editAs="oneCell">
    <xdr:from>
      <xdr:col>4</xdr:col>
      <xdr:colOff>447675</xdr:colOff>
      <xdr:row>66</xdr:row>
      <xdr:rowOff>19050</xdr:rowOff>
    </xdr:from>
    <xdr:to>
      <xdr:col>4</xdr:col>
      <xdr:colOff>685800</xdr:colOff>
      <xdr:row>66</xdr:row>
      <xdr:rowOff>190500</xdr:rowOff>
    </xdr:to>
    <xdr:pic>
      <xdr:nvPicPr>
        <xdr:cNvPr id="4234" name="Image 16" descr="Icone info.jpg">
          <a:hlinkClick xmlns:r="http://schemas.openxmlformats.org/officeDocument/2006/relationships" r:id="rId13" tooltip="Ratios liés à l'endettement"/>
        </xdr:cNvPr>
        <xdr:cNvPicPr>
          <a:picLocks noChangeAspect="1"/>
        </xdr:cNvPicPr>
      </xdr:nvPicPr>
      <xdr:blipFill>
        <a:blip xmlns:r="http://schemas.openxmlformats.org/officeDocument/2006/relationships" r:embed="rId14" cstate="print"/>
        <a:srcRect/>
        <a:stretch>
          <a:fillRect/>
        </a:stretch>
      </xdr:blipFill>
      <xdr:spPr bwMode="auto">
        <a:xfrm>
          <a:off x="2933700" y="13716000"/>
          <a:ext cx="238125" cy="171450"/>
        </a:xfrm>
        <a:prstGeom prst="rect">
          <a:avLst/>
        </a:prstGeom>
        <a:noFill/>
        <a:ln w="9525">
          <a:noFill/>
          <a:miter lim="800000"/>
          <a:headEnd/>
          <a:tailEnd/>
        </a:ln>
      </xdr:spPr>
    </xdr:pic>
    <xdr:clientData/>
  </xdr:twoCellAnchor>
  <xdr:twoCellAnchor editAs="oneCell">
    <xdr:from>
      <xdr:col>4</xdr:col>
      <xdr:colOff>400050</xdr:colOff>
      <xdr:row>76</xdr:row>
      <xdr:rowOff>28575</xdr:rowOff>
    </xdr:from>
    <xdr:to>
      <xdr:col>4</xdr:col>
      <xdr:colOff>638175</xdr:colOff>
      <xdr:row>76</xdr:row>
      <xdr:rowOff>200025</xdr:rowOff>
    </xdr:to>
    <xdr:pic>
      <xdr:nvPicPr>
        <xdr:cNvPr id="4235" name="Image 17" descr="Icone info.jpg">
          <a:hlinkClick xmlns:r="http://schemas.openxmlformats.org/officeDocument/2006/relationships" r:id="rId13" tooltip="Ratios liés à l'endettement"/>
        </xdr:cNvPr>
        <xdr:cNvPicPr>
          <a:picLocks noChangeAspect="1"/>
        </xdr:cNvPicPr>
      </xdr:nvPicPr>
      <xdr:blipFill>
        <a:blip xmlns:r="http://schemas.openxmlformats.org/officeDocument/2006/relationships" r:embed="rId14" cstate="print"/>
        <a:srcRect/>
        <a:stretch>
          <a:fillRect/>
        </a:stretch>
      </xdr:blipFill>
      <xdr:spPr bwMode="auto">
        <a:xfrm>
          <a:off x="2886075" y="15697200"/>
          <a:ext cx="238125" cy="171450"/>
        </a:xfrm>
        <a:prstGeom prst="rect">
          <a:avLst/>
        </a:prstGeom>
        <a:noFill/>
        <a:ln w="9525">
          <a:noFill/>
          <a:miter lim="800000"/>
          <a:headEnd/>
          <a:tailEnd/>
        </a:ln>
      </xdr:spPr>
    </xdr:pic>
    <xdr:clientData/>
  </xdr:twoCellAnchor>
  <xdr:twoCellAnchor editAs="oneCell">
    <xdr:from>
      <xdr:col>4</xdr:col>
      <xdr:colOff>419100</xdr:colOff>
      <xdr:row>86</xdr:row>
      <xdr:rowOff>19050</xdr:rowOff>
    </xdr:from>
    <xdr:to>
      <xdr:col>4</xdr:col>
      <xdr:colOff>657225</xdr:colOff>
      <xdr:row>86</xdr:row>
      <xdr:rowOff>190500</xdr:rowOff>
    </xdr:to>
    <xdr:pic>
      <xdr:nvPicPr>
        <xdr:cNvPr id="4236" name="Image 19" descr="Icone info.jpg">
          <a:hlinkClick xmlns:r="http://schemas.openxmlformats.org/officeDocument/2006/relationships" r:id="rId13" tooltip="Ratios liés à l'endettement"/>
        </xdr:cNvPr>
        <xdr:cNvPicPr>
          <a:picLocks noChangeAspect="1"/>
        </xdr:cNvPicPr>
      </xdr:nvPicPr>
      <xdr:blipFill>
        <a:blip xmlns:r="http://schemas.openxmlformats.org/officeDocument/2006/relationships" r:embed="rId14" cstate="print"/>
        <a:srcRect/>
        <a:stretch>
          <a:fillRect/>
        </a:stretch>
      </xdr:blipFill>
      <xdr:spPr bwMode="auto">
        <a:xfrm>
          <a:off x="2905125" y="17640300"/>
          <a:ext cx="238125" cy="171450"/>
        </a:xfrm>
        <a:prstGeom prst="rect">
          <a:avLst/>
        </a:prstGeom>
        <a:noFill/>
        <a:ln w="9525">
          <a:noFill/>
          <a:miter lim="800000"/>
          <a:headEnd/>
          <a:tailEnd/>
        </a:ln>
      </xdr:spPr>
    </xdr:pic>
    <xdr:clientData/>
  </xdr:twoCellAnchor>
  <xdr:twoCellAnchor editAs="oneCell">
    <xdr:from>
      <xdr:col>10</xdr:col>
      <xdr:colOff>57150</xdr:colOff>
      <xdr:row>93</xdr:row>
      <xdr:rowOff>9525</xdr:rowOff>
    </xdr:from>
    <xdr:to>
      <xdr:col>10</xdr:col>
      <xdr:colOff>495300</xdr:colOff>
      <xdr:row>93</xdr:row>
      <xdr:rowOff>333375</xdr:rowOff>
    </xdr:to>
    <xdr:pic>
      <xdr:nvPicPr>
        <xdr:cNvPr id="4237" name="Image 20" descr="Icone info.jpg">
          <a:hlinkClick xmlns:r="http://schemas.openxmlformats.org/officeDocument/2006/relationships" r:id="rId15" tooltip="Encours de la dette"/>
        </xdr:cNvPr>
        <xdr:cNvPicPr>
          <a:picLocks noChangeAspect="1"/>
        </xdr:cNvPicPr>
      </xdr:nvPicPr>
      <xdr:blipFill>
        <a:blip xmlns:r="http://schemas.openxmlformats.org/officeDocument/2006/relationships" r:embed="rId2" cstate="print"/>
        <a:srcRect/>
        <a:stretch>
          <a:fillRect/>
        </a:stretch>
      </xdr:blipFill>
      <xdr:spPr bwMode="auto">
        <a:xfrm>
          <a:off x="6400800" y="18792825"/>
          <a:ext cx="438150" cy="323850"/>
        </a:xfrm>
        <a:prstGeom prst="rect">
          <a:avLst/>
        </a:prstGeom>
        <a:noFill/>
        <a:ln w="9525">
          <a:noFill/>
          <a:miter lim="800000"/>
          <a:headEnd/>
          <a:tailEnd/>
        </a:ln>
      </xdr:spPr>
    </xdr:pic>
    <xdr:clientData/>
  </xdr:twoCellAnchor>
  <xdr:twoCellAnchor editAs="oneCell">
    <xdr:from>
      <xdr:col>10</xdr:col>
      <xdr:colOff>47625</xdr:colOff>
      <xdr:row>133</xdr:row>
      <xdr:rowOff>19050</xdr:rowOff>
    </xdr:from>
    <xdr:to>
      <xdr:col>10</xdr:col>
      <xdr:colOff>485775</xdr:colOff>
      <xdr:row>133</xdr:row>
      <xdr:rowOff>342900</xdr:rowOff>
    </xdr:to>
    <xdr:pic>
      <xdr:nvPicPr>
        <xdr:cNvPr id="4238" name="Image 24" descr="Icone info.jpg">
          <a:hlinkClick xmlns:r="http://schemas.openxmlformats.org/officeDocument/2006/relationships" r:id="rId16" tooltip="Capacité d'autofinancement"/>
        </xdr:cNvPr>
        <xdr:cNvPicPr>
          <a:picLocks noChangeAspect="1"/>
        </xdr:cNvPicPr>
      </xdr:nvPicPr>
      <xdr:blipFill>
        <a:blip xmlns:r="http://schemas.openxmlformats.org/officeDocument/2006/relationships" r:embed="rId4" cstate="print"/>
        <a:srcRect/>
        <a:stretch>
          <a:fillRect/>
        </a:stretch>
      </xdr:blipFill>
      <xdr:spPr bwMode="auto">
        <a:xfrm>
          <a:off x="6391275" y="26936700"/>
          <a:ext cx="438150" cy="323850"/>
        </a:xfrm>
        <a:prstGeom prst="rect">
          <a:avLst/>
        </a:prstGeom>
        <a:noFill/>
        <a:ln w="9525">
          <a:noFill/>
          <a:miter lim="800000"/>
          <a:headEnd/>
          <a:tailEnd/>
        </a:ln>
      </xdr:spPr>
    </xdr:pic>
    <xdr:clientData/>
  </xdr:twoCellAnchor>
  <xdr:twoCellAnchor editAs="oneCell">
    <xdr:from>
      <xdr:col>10</xdr:col>
      <xdr:colOff>38100</xdr:colOff>
      <xdr:row>144</xdr:row>
      <xdr:rowOff>0</xdr:rowOff>
    </xdr:from>
    <xdr:to>
      <xdr:col>10</xdr:col>
      <xdr:colOff>476250</xdr:colOff>
      <xdr:row>144</xdr:row>
      <xdr:rowOff>323850</xdr:rowOff>
    </xdr:to>
    <xdr:pic>
      <xdr:nvPicPr>
        <xdr:cNvPr id="4239" name="Image 25" descr="Icone info.jpg">
          <a:hlinkClick xmlns:r="http://schemas.openxmlformats.org/officeDocument/2006/relationships" r:id="rId17" tooltip="Taux de marge brute"/>
        </xdr:cNvPr>
        <xdr:cNvPicPr>
          <a:picLocks noChangeAspect="1"/>
        </xdr:cNvPicPr>
      </xdr:nvPicPr>
      <xdr:blipFill>
        <a:blip xmlns:r="http://schemas.openxmlformats.org/officeDocument/2006/relationships" r:embed="rId2" cstate="print"/>
        <a:srcRect/>
        <a:stretch>
          <a:fillRect/>
        </a:stretch>
      </xdr:blipFill>
      <xdr:spPr bwMode="auto">
        <a:xfrm>
          <a:off x="6381750" y="29222700"/>
          <a:ext cx="438150" cy="323850"/>
        </a:xfrm>
        <a:prstGeom prst="rect">
          <a:avLst/>
        </a:prstGeom>
        <a:noFill/>
        <a:ln w="9525">
          <a:noFill/>
          <a:miter lim="800000"/>
          <a:headEnd/>
          <a:tailEnd/>
        </a:ln>
      </xdr:spPr>
    </xdr:pic>
    <xdr:clientData/>
  </xdr:twoCellAnchor>
  <xdr:twoCellAnchor editAs="oneCell">
    <xdr:from>
      <xdr:col>10</xdr:col>
      <xdr:colOff>57150</xdr:colOff>
      <xdr:row>176</xdr:row>
      <xdr:rowOff>28575</xdr:rowOff>
    </xdr:from>
    <xdr:to>
      <xdr:col>10</xdr:col>
      <xdr:colOff>495300</xdr:colOff>
      <xdr:row>177</xdr:row>
      <xdr:rowOff>0</xdr:rowOff>
    </xdr:to>
    <xdr:pic>
      <xdr:nvPicPr>
        <xdr:cNvPr id="4240" name="Image 26" descr="Icone info.jpg">
          <a:hlinkClick xmlns:r="http://schemas.openxmlformats.org/officeDocument/2006/relationships" r:id="rId18" tooltip="Excédent brut d'exploitation - EBE"/>
        </xdr:cNvPr>
        <xdr:cNvPicPr>
          <a:picLocks noChangeAspect="1"/>
        </xdr:cNvPicPr>
      </xdr:nvPicPr>
      <xdr:blipFill>
        <a:blip xmlns:r="http://schemas.openxmlformats.org/officeDocument/2006/relationships" r:embed="rId4" cstate="print"/>
        <a:srcRect/>
        <a:stretch>
          <a:fillRect/>
        </a:stretch>
      </xdr:blipFill>
      <xdr:spPr bwMode="auto">
        <a:xfrm>
          <a:off x="6400800" y="35814000"/>
          <a:ext cx="438150" cy="323850"/>
        </a:xfrm>
        <a:prstGeom prst="rect">
          <a:avLst/>
        </a:prstGeom>
        <a:noFill/>
        <a:ln w="9525">
          <a:noFill/>
          <a:miter lim="800000"/>
          <a:headEnd/>
          <a:tailEnd/>
        </a:ln>
      </xdr:spPr>
    </xdr:pic>
    <xdr:clientData/>
  </xdr:twoCellAnchor>
  <xdr:twoCellAnchor editAs="oneCell">
    <xdr:from>
      <xdr:col>10</xdr:col>
      <xdr:colOff>76200</xdr:colOff>
      <xdr:row>186</xdr:row>
      <xdr:rowOff>9525</xdr:rowOff>
    </xdr:from>
    <xdr:to>
      <xdr:col>10</xdr:col>
      <xdr:colOff>514350</xdr:colOff>
      <xdr:row>186</xdr:row>
      <xdr:rowOff>333375</xdr:rowOff>
    </xdr:to>
    <xdr:pic>
      <xdr:nvPicPr>
        <xdr:cNvPr id="4241" name="Image 30" descr="Icone info.jpg">
          <a:hlinkClick xmlns:r="http://schemas.openxmlformats.org/officeDocument/2006/relationships" r:id="rId19" tooltip="Résultat d'exploitation"/>
        </xdr:cNvPr>
        <xdr:cNvPicPr>
          <a:picLocks noChangeAspect="1"/>
        </xdr:cNvPicPr>
      </xdr:nvPicPr>
      <xdr:blipFill>
        <a:blip xmlns:r="http://schemas.openxmlformats.org/officeDocument/2006/relationships" r:embed="rId2" cstate="print"/>
        <a:srcRect/>
        <a:stretch>
          <a:fillRect/>
        </a:stretch>
      </xdr:blipFill>
      <xdr:spPr bwMode="auto">
        <a:xfrm>
          <a:off x="6419850" y="37747575"/>
          <a:ext cx="438150" cy="323850"/>
        </a:xfrm>
        <a:prstGeom prst="rect">
          <a:avLst/>
        </a:prstGeom>
        <a:noFill/>
        <a:ln w="9525">
          <a:noFill/>
          <a:miter lim="800000"/>
          <a:headEnd/>
          <a:tailEnd/>
        </a:ln>
      </xdr:spPr>
    </xdr:pic>
    <xdr:clientData/>
  </xdr:twoCellAnchor>
  <xdr:twoCellAnchor editAs="oneCell">
    <xdr:from>
      <xdr:col>10</xdr:col>
      <xdr:colOff>57150</xdr:colOff>
      <xdr:row>196</xdr:row>
      <xdr:rowOff>38100</xdr:rowOff>
    </xdr:from>
    <xdr:to>
      <xdr:col>10</xdr:col>
      <xdr:colOff>495300</xdr:colOff>
      <xdr:row>197</xdr:row>
      <xdr:rowOff>9525</xdr:rowOff>
    </xdr:to>
    <xdr:pic>
      <xdr:nvPicPr>
        <xdr:cNvPr id="4242" name="Image 31" descr="Icone info.jpg">
          <a:hlinkClick xmlns:r="http://schemas.openxmlformats.org/officeDocument/2006/relationships" r:id="rId20" tooltip="Résultat courant"/>
        </xdr:cNvPr>
        <xdr:cNvPicPr>
          <a:picLocks noChangeAspect="1"/>
        </xdr:cNvPicPr>
      </xdr:nvPicPr>
      <xdr:blipFill>
        <a:blip xmlns:r="http://schemas.openxmlformats.org/officeDocument/2006/relationships" r:embed="rId4" cstate="print"/>
        <a:srcRect/>
        <a:stretch>
          <a:fillRect/>
        </a:stretch>
      </xdr:blipFill>
      <xdr:spPr bwMode="auto">
        <a:xfrm>
          <a:off x="6400800" y="39728775"/>
          <a:ext cx="438150" cy="323850"/>
        </a:xfrm>
        <a:prstGeom prst="rect">
          <a:avLst/>
        </a:prstGeom>
        <a:noFill/>
        <a:ln w="9525">
          <a:noFill/>
          <a:miter lim="800000"/>
          <a:headEnd/>
          <a:tailEnd/>
        </a:ln>
      </xdr:spPr>
    </xdr:pic>
    <xdr:clientData/>
  </xdr:twoCellAnchor>
  <xdr:twoCellAnchor editAs="oneCell">
    <xdr:from>
      <xdr:col>10</xdr:col>
      <xdr:colOff>57150</xdr:colOff>
      <xdr:row>206</xdr:row>
      <xdr:rowOff>38100</xdr:rowOff>
    </xdr:from>
    <xdr:to>
      <xdr:col>10</xdr:col>
      <xdr:colOff>495300</xdr:colOff>
      <xdr:row>207</xdr:row>
      <xdr:rowOff>9525</xdr:rowOff>
    </xdr:to>
    <xdr:pic>
      <xdr:nvPicPr>
        <xdr:cNvPr id="4243" name="Image 32" descr="Icone info.jpg">
          <a:hlinkClick xmlns:r="http://schemas.openxmlformats.org/officeDocument/2006/relationships" r:id="rId21" tooltip="Résultat exceptionnel"/>
        </xdr:cNvPr>
        <xdr:cNvPicPr>
          <a:picLocks noChangeAspect="1"/>
        </xdr:cNvPicPr>
      </xdr:nvPicPr>
      <xdr:blipFill>
        <a:blip xmlns:r="http://schemas.openxmlformats.org/officeDocument/2006/relationships" r:embed="rId4" cstate="print"/>
        <a:srcRect/>
        <a:stretch>
          <a:fillRect/>
        </a:stretch>
      </xdr:blipFill>
      <xdr:spPr bwMode="auto">
        <a:xfrm>
          <a:off x="6400800" y="41681400"/>
          <a:ext cx="438150" cy="323850"/>
        </a:xfrm>
        <a:prstGeom prst="rect">
          <a:avLst/>
        </a:prstGeom>
        <a:noFill/>
        <a:ln w="9525">
          <a:noFill/>
          <a:miter lim="800000"/>
          <a:headEnd/>
          <a:tailEnd/>
        </a:ln>
      </xdr:spPr>
    </xdr:pic>
    <xdr:clientData/>
  </xdr:twoCellAnchor>
  <xdr:twoCellAnchor editAs="oneCell">
    <xdr:from>
      <xdr:col>10</xdr:col>
      <xdr:colOff>57150</xdr:colOff>
      <xdr:row>216</xdr:row>
      <xdr:rowOff>9525</xdr:rowOff>
    </xdr:from>
    <xdr:to>
      <xdr:col>10</xdr:col>
      <xdr:colOff>495300</xdr:colOff>
      <xdr:row>216</xdr:row>
      <xdr:rowOff>333375</xdr:rowOff>
    </xdr:to>
    <xdr:pic>
      <xdr:nvPicPr>
        <xdr:cNvPr id="4244" name="Image 34" descr="Icone info.jpg">
          <a:hlinkClick xmlns:r="http://schemas.openxmlformats.org/officeDocument/2006/relationships" r:id="rId22" tooltip="Résultat net"/>
        </xdr:cNvPr>
        <xdr:cNvPicPr>
          <a:picLocks noChangeAspect="1"/>
        </xdr:cNvPicPr>
      </xdr:nvPicPr>
      <xdr:blipFill>
        <a:blip xmlns:r="http://schemas.openxmlformats.org/officeDocument/2006/relationships" r:embed="rId2" cstate="print"/>
        <a:srcRect/>
        <a:stretch>
          <a:fillRect/>
        </a:stretch>
      </xdr:blipFill>
      <xdr:spPr bwMode="auto">
        <a:xfrm>
          <a:off x="6400800" y="43605450"/>
          <a:ext cx="438150" cy="323850"/>
        </a:xfrm>
        <a:prstGeom prst="rect">
          <a:avLst/>
        </a:prstGeom>
        <a:noFill/>
        <a:ln w="9525">
          <a:noFill/>
          <a:miter lim="800000"/>
          <a:headEnd/>
          <a:tailEnd/>
        </a:ln>
      </xdr:spPr>
    </xdr:pic>
    <xdr:clientData/>
  </xdr:twoCellAnchor>
  <xdr:twoCellAnchor>
    <xdr:from>
      <xdr:col>7</xdr:col>
      <xdr:colOff>209550</xdr:colOff>
      <xdr:row>219</xdr:row>
      <xdr:rowOff>95250</xdr:rowOff>
    </xdr:from>
    <xdr:to>
      <xdr:col>11</xdr:col>
      <xdr:colOff>756708</xdr:colOff>
      <xdr:row>221</xdr:row>
      <xdr:rowOff>76201</xdr:rowOff>
    </xdr:to>
    <xdr:sp macro="" textlink="">
      <xdr:nvSpPr>
        <xdr:cNvPr id="22" name="Rectangle à coins arrondis 21">
          <a:hlinkClick xmlns:r="http://schemas.openxmlformats.org/officeDocument/2006/relationships" r:id="rId23" tooltip="Calcul des indicateurs - RESTITUTIONS"/>
        </xdr:cNvPr>
        <xdr:cNvSpPr/>
      </xdr:nvSpPr>
      <xdr:spPr>
        <a:xfrm>
          <a:off x="4972050" y="36833175"/>
          <a:ext cx="2890308" cy="400051"/>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l"/>
          <a:r>
            <a:rPr lang="fr-FR" sz="1050" b="0">
              <a:latin typeface="Century Gothic" pitchFamily="34" charset="0"/>
            </a:rPr>
            <a:t>Analyse rétrospective </a:t>
          </a:r>
          <a:r>
            <a:rPr lang="fr-FR" sz="1050" b="0" baseline="0">
              <a:latin typeface="Century Gothic" pitchFamily="34" charset="0"/>
            </a:rPr>
            <a:t>- </a:t>
          </a:r>
          <a:r>
            <a:rPr lang="fr-FR" sz="1050" b="1" baseline="0">
              <a:solidFill>
                <a:sysClr val="windowText" lastClr="000000"/>
              </a:solidFill>
              <a:latin typeface="Century Gothic" pitchFamily="34" charset="0"/>
            </a:rPr>
            <a:t>Restitutions (2)</a:t>
          </a:r>
          <a:endParaRPr lang="fr-FR" sz="1050" b="1">
            <a:solidFill>
              <a:sysClr val="windowText" lastClr="000000"/>
            </a:solidFill>
            <a:latin typeface="Century Gothic" pitchFamily="34" charset="0"/>
          </a:endParaRPr>
        </a:p>
      </xdr:txBody>
    </xdr:sp>
    <xdr:clientData/>
  </xdr:twoCellAnchor>
  <xdr:twoCellAnchor>
    <xdr:from>
      <xdr:col>6</xdr:col>
      <xdr:colOff>552450</xdr:colOff>
      <xdr:row>219</xdr:row>
      <xdr:rowOff>95250</xdr:rowOff>
    </xdr:from>
    <xdr:to>
      <xdr:col>7</xdr:col>
      <xdr:colOff>65617</xdr:colOff>
      <xdr:row>221</xdr:row>
      <xdr:rowOff>75750</xdr:rowOff>
    </xdr:to>
    <xdr:sp macro="" textlink="">
      <xdr:nvSpPr>
        <xdr:cNvPr id="23" name="Rectangle à coins arrondis 22">
          <a:hlinkClick xmlns:r="http://schemas.openxmlformats.org/officeDocument/2006/relationships" r:id="rId24" tooltip="Retour MENU"/>
        </xdr:cNvPr>
        <xdr:cNvSpPr/>
      </xdr:nvSpPr>
      <xdr:spPr>
        <a:xfrm>
          <a:off x="4171950" y="44615100"/>
          <a:ext cx="656167" cy="3996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editAs="oneCell">
    <xdr:from>
      <xdr:col>10</xdr:col>
      <xdr:colOff>57150</xdr:colOff>
      <xdr:row>19</xdr:row>
      <xdr:rowOff>38100</xdr:rowOff>
    </xdr:from>
    <xdr:to>
      <xdr:col>10</xdr:col>
      <xdr:colOff>495300</xdr:colOff>
      <xdr:row>20</xdr:row>
      <xdr:rowOff>9525</xdr:rowOff>
    </xdr:to>
    <xdr:pic>
      <xdr:nvPicPr>
        <xdr:cNvPr id="4247" name="Image 27" descr="Icone info.jpg">
          <a:hlinkClick xmlns:r="http://schemas.openxmlformats.org/officeDocument/2006/relationships" r:id="rId25" tooltip="Capacité d'investissement"/>
        </xdr:cNvPr>
        <xdr:cNvPicPr preferRelativeResize="0">
          <a:picLocks/>
        </xdr:cNvPicPr>
      </xdr:nvPicPr>
      <xdr:blipFill>
        <a:blip xmlns:r="http://schemas.openxmlformats.org/officeDocument/2006/relationships" r:embed="rId26" cstate="print"/>
        <a:srcRect/>
        <a:stretch>
          <a:fillRect/>
        </a:stretch>
      </xdr:blipFill>
      <xdr:spPr bwMode="auto">
        <a:xfrm>
          <a:off x="6400800" y="3724275"/>
          <a:ext cx="438150" cy="323850"/>
        </a:xfrm>
        <a:prstGeom prst="rect">
          <a:avLst/>
        </a:prstGeom>
        <a:noFill/>
        <a:ln w="9525">
          <a:noFill/>
          <a:miter lim="800000"/>
          <a:headEnd/>
          <a:tailEnd/>
        </a:ln>
      </xdr:spPr>
    </xdr:pic>
    <xdr:clientData/>
  </xdr:twoCellAnchor>
  <xdr:twoCellAnchor editAs="oneCell">
    <xdr:from>
      <xdr:col>4</xdr:col>
      <xdr:colOff>419100</xdr:colOff>
      <xdr:row>96</xdr:row>
      <xdr:rowOff>19050</xdr:rowOff>
    </xdr:from>
    <xdr:to>
      <xdr:col>4</xdr:col>
      <xdr:colOff>657225</xdr:colOff>
      <xdr:row>96</xdr:row>
      <xdr:rowOff>190500</xdr:rowOff>
    </xdr:to>
    <xdr:pic>
      <xdr:nvPicPr>
        <xdr:cNvPr id="4248" name="Image 19" descr="Icone info.jpg">
          <a:hlinkClick xmlns:r="http://schemas.openxmlformats.org/officeDocument/2006/relationships" r:id="rId13" tooltip="Ratios liés à l'endettement"/>
        </xdr:cNvPr>
        <xdr:cNvPicPr>
          <a:picLocks noChangeAspect="1"/>
        </xdr:cNvPicPr>
      </xdr:nvPicPr>
      <xdr:blipFill>
        <a:blip xmlns:r="http://schemas.openxmlformats.org/officeDocument/2006/relationships" r:embed="rId14" cstate="print"/>
        <a:srcRect/>
        <a:stretch>
          <a:fillRect/>
        </a:stretch>
      </xdr:blipFill>
      <xdr:spPr bwMode="auto">
        <a:xfrm>
          <a:off x="2905125" y="19592925"/>
          <a:ext cx="238125" cy="171450"/>
        </a:xfrm>
        <a:prstGeom prst="rect">
          <a:avLst/>
        </a:prstGeom>
        <a:noFill/>
        <a:ln w="9525">
          <a:noFill/>
          <a:miter lim="800000"/>
          <a:headEnd/>
          <a:tailEnd/>
        </a:ln>
      </xdr:spPr>
    </xdr:pic>
    <xdr:clientData/>
  </xdr:twoCellAnchor>
  <xdr:twoCellAnchor editAs="oneCell">
    <xdr:from>
      <xdr:col>10</xdr:col>
      <xdr:colOff>47625</xdr:colOff>
      <xdr:row>103</xdr:row>
      <xdr:rowOff>47625</xdr:rowOff>
    </xdr:from>
    <xdr:to>
      <xdr:col>10</xdr:col>
      <xdr:colOff>485775</xdr:colOff>
      <xdr:row>104</xdr:row>
      <xdr:rowOff>19050</xdr:rowOff>
    </xdr:to>
    <xdr:pic>
      <xdr:nvPicPr>
        <xdr:cNvPr id="4249" name="Image 20" descr="Icone info.jpg">
          <a:hlinkClick xmlns:r="http://schemas.openxmlformats.org/officeDocument/2006/relationships" r:id="rId27" tooltip="Taux d'apurement de la dette"/>
        </xdr:cNvPr>
        <xdr:cNvPicPr preferRelativeResize="0">
          <a:picLocks/>
        </xdr:cNvPicPr>
      </xdr:nvPicPr>
      <xdr:blipFill>
        <a:blip xmlns:r="http://schemas.openxmlformats.org/officeDocument/2006/relationships" r:embed="rId2" cstate="print"/>
        <a:srcRect/>
        <a:stretch>
          <a:fillRect/>
        </a:stretch>
      </xdr:blipFill>
      <xdr:spPr bwMode="auto">
        <a:xfrm>
          <a:off x="6391275" y="20783550"/>
          <a:ext cx="438150" cy="323850"/>
        </a:xfrm>
        <a:prstGeom prst="rect">
          <a:avLst/>
        </a:prstGeom>
        <a:noFill/>
        <a:ln w="9525">
          <a:noFill/>
          <a:miter lim="800000"/>
          <a:headEnd/>
          <a:tailEnd/>
        </a:ln>
      </xdr:spPr>
    </xdr:pic>
    <xdr:clientData/>
  </xdr:twoCellAnchor>
  <xdr:twoCellAnchor editAs="oneCell">
    <xdr:from>
      <xdr:col>10</xdr:col>
      <xdr:colOff>0</xdr:colOff>
      <xdr:row>113</xdr:row>
      <xdr:rowOff>0</xdr:rowOff>
    </xdr:from>
    <xdr:to>
      <xdr:col>10</xdr:col>
      <xdr:colOff>438150</xdr:colOff>
      <xdr:row>113</xdr:row>
      <xdr:rowOff>323850</xdr:rowOff>
    </xdr:to>
    <xdr:pic>
      <xdr:nvPicPr>
        <xdr:cNvPr id="4250" name="Image 20" descr="Icone info.jpg">
          <a:hlinkClick xmlns:r="http://schemas.openxmlformats.org/officeDocument/2006/relationships" r:id="rId28" tooltip="Vétusté des constructions"/>
        </xdr:cNvPr>
        <xdr:cNvPicPr preferRelativeResize="0">
          <a:picLocks/>
        </xdr:cNvPicPr>
      </xdr:nvPicPr>
      <xdr:blipFill>
        <a:blip xmlns:r="http://schemas.openxmlformats.org/officeDocument/2006/relationships" r:embed="rId2" cstate="print"/>
        <a:srcRect/>
        <a:stretch>
          <a:fillRect/>
        </a:stretch>
      </xdr:blipFill>
      <xdr:spPr bwMode="auto">
        <a:xfrm>
          <a:off x="6343650" y="22850475"/>
          <a:ext cx="438150" cy="323850"/>
        </a:xfrm>
        <a:prstGeom prst="rect">
          <a:avLst/>
        </a:prstGeom>
        <a:noFill/>
        <a:ln w="9525">
          <a:noFill/>
          <a:miter lim="800000"/>
          <a:headEnd/>
          <a:tailEnd/>
        </a:ln>
      </xdr:spPr>
    </xdr:pic>
    <xdr:clientData/>
  </xdr:twoCellAnchor>
  <xdr:twoCellAnchor editAs="oneCell">
    <xdr:from>
      <xdr:col>10</xdr:col>
      <xdr:colOff>0</xdr:colOff>
      <xdr:row>123</xdr:row>
      <xdr:rowOff>0</xdr:rowOff>
    </xdr:from>
    <xdr:to>
      <xdr:col>10</xdr:col>
      <xdr:colOff>438150</xdr:colOff>
      <xdr:row>123</xdr:row>
      <xdr:rowOff>323850</xdr:rowOff>
    </xdr:to>
    <xdr:pic>
      <xdr:nvPicPr>
        <xdr:cNvPr id="4251" name="Image 20" descr="Icone info.jpg">
          <a:hlinkClick xmlns:r="http://schemas.openxmlformats.org/officeDocument/2006/relationships" r:id="rId29" tooltip="Vétusté des équipements"/>
        </xdr:cNvPr>
        <xdr:cNvPicPr preferRelativeResize="0">
          <a:picLocks/>
        </xdr:cNvPicPr>
      </xdr:nvPicPr>
      <xdr:blipFill>
        <a:blip xmlns:r="http://schemas.openxmlformats.org/officeDocument/2006/relationships" r:embed="rId2" cstate="print"/>
        <a:srcRect/>
        <a:stretch>
          <a:fillRect/>
        </a:stretch>
      </xdr:blipFill>
      <xdr:spPr bwMode="auto">
        <a:xfrm>
          <a:off x="6343650" y="24965025"/>
          <a:ext cx="438150" cy="323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10</xdr:col>
      <xdr:colOff>314325</xdr:colOff>
      <xdr:row>9</xdr:row>
      <xdr:rowOff>238125</xdr:rowOff>
    </xdr:to>
    <xdr:pic>
      <xdr:nvPicPr>
        <xdr:cNvPr id="47233" name="Image 16">
          <a:hlinkClick xmlns:r="http://schemas.openxmlformats.org/officeDocument/2006/relationships" r:id="rId1" tooltip="FRNG en jours de charges courantes"/>
        </xdr:cNvPr>
        <xdr:cNvPicPr>
          <a:picLocks noChangeAspect="1"/>
        </xdr:cNvPicPr>
      </xdr:nvPicPr>
      <xdr:blipFill>
        <a:blip xmlns:r="http://schemas.openxmlformats.org/officeDocument/2006/relationships" r:embed="rId2" cstate="print"/>
        <a:srcRect/>
        <a:stretch>
          <a:fillRect/>
        </a:stretch>
      </xdr:blipFill>
      <xdr:spPr bwMode="auto">
        <a:xfrm>
          <a:off x="6343650" y="2047875"/>
          <a:ext cx="314325" cy="238125"/>
        </a:xfrm>
        <a:prstGeom prst="rect">
          <a:avLst/>
        </a:prstGeom>
        <a:noFill/>
        <a:ln w="9525">
          <a:noFill/>
          <a:miter lim="800000"/>
          <a:headEnd/>
          <a:tailEnd/>
        </a:ln>
      </xdr:spPr>
    </xdr:pic>
    <xdr:clientData/>
  </xdr:twoCellAnchor>
  <xdr:twoCellAnchor editAs="oneCell">
    <xdr:from>
      <xdr:col>10</xdr:col>
      <xdr:colOff>0</xdr:colOff>
      <xdr:row>10</xdr:row>
      <xdr:rowOff>0</xdr:rowOff>
    </xdr:from>
    <xdr:to>
      <xdr:col>10</xdr:col>
      <xdr:colOff>314325</xdr:colOff>
      <xdr:row>10</xdr:row>
      <xdr:rowOff>238125</xdr:rowOff>
    </xdr:to>
    <xdr:pic>
      <xdr:nvPicPr>
        <xdr:cNvPr id="47234" name="Image 17">
          <a:hlinkClick xmlns:r="http://schemas.openxmlformats.org/officeDocument/2006/relationships" r:id="rId1" tooltip="FRNG en euros"/>
        </xdr:cNvPr>
        <xdr:cNvPicPr>
          <a:picLocks noChangeAspect="1"/>
        </xdr:cNvPicPr>
      </xdr:nvPicPr>
      <xdr:blipFill>
        <a:blip xmlns:r="http://schemas.openxmlformats.org/officeDocument/2006/relationships" r:embed="rId2" cstate="print"/>
        <a:srcRect/>
        <a:stretch>
          <a:fillRect/>
        </a:stretch>
      </xdr:blipFill>
      <xdr:spPr bwMode="auto">
        <a:xfrm>
          <a:off x="6343650" y="2362200"/>
          <a:ext cx="314325" cy="238125"/>
        </a:xfrm>
        <a:prstGeom prst="rect">
          <a:avLst/>
        </a:prstGeom>
        <a:noFill/>
        <a:ln w="9525">
          <a:noFill/>
          <a:miter lim="800000"/>
          <a:headEnd/>
          <a:tailEnd/>
        </a:ln>
      </xdr:spPr>
    </xdr:pic>
    <xdr:clientData/>
  </xdr:twoCellAnchor>
  <xdr:twoCellAnchor editAs="oneCell">
    <xdr:from>
      <xdr:col>10</xdr:col>
      <xdr:colOff>0</xdr:colOff>
      <xdr:row>11</xdr:row>
      <xdr:rowOff>0</xdr:rowOff>
    </xdr:from>
    <xdr:to>
      <xdr:col>10</xdr:col>
      <xdr:colOff>314325</xdr:colOff>
      <xdr:row>11</xdr:row>
      <xdr:rowOff>238125</xdr:rowOff>
    </xdr:to>
    <xdr:pic>
      <xdr:nvPicPr>
        <xdr:cNvPr id="47235" name="Image 18">
          <a:hlinkClick xmlns:r="http://schemas.openxmlformats.org/officeDocument/2006/relationships" r:id="rId3" tooltip="BFR en jours de charges courantes"/>
        </xdr:cNvPr>
        <xdr:cNvPicPr>
          <a:picLocks noChangeAspect="1"/>
        </xdr:cNvPicPr>
      </xdr:nvPicPr>
      <xdr:blipFill>
        <a:blip xmlns:r="http://schemas.openxmlformats.org/officeDocument/2006/relationships" r:embed="rId2" cstate="print"/>
        <a:srcRect/>
        <a:stretch>
          <a:fillRect/>
        </a:stretch>
      </xdr:blipFill>
      <xdr:spPr bwMode="auto">
        <a:xfrm>
          <a:off x="6343650" y="2676525"/>
          <a:ext cx="314325" cy="238125"/>
        </a:xfrm>
        <a:prstGeom prst="rect">
          <a:avLst/>
        </a:prstGeom>
        <a:noFill/>
        <a:ln w="9525">
          <a:noFill/>
          <a:miter lim="800000"/>
          <a:headEnd/>
          <a:tailEnd/>
        </a:ln>
      </xdr:spPr>
    </xdr:pic>
    <xdr:clientData/>
  </xdr:twoCellAnchor>
  <xdr:twoCellAnchor editAs="oneCell">
    <xdr:from>
      <xdr:col>10</xdr:col>
      <xdr:colOff>0</xdr:colOff>
      <xdr:row>12</xdr:row>
      <xdr:rowOff>0</xdr:rowOff>
    </xdr:from>
    <xdr:to>
      <xdr:col>10</xdr:col>
      <xdr:colOff>314325</xdr:colOff>
      <xdr:row>12</xdr:row>
      <xdr:rowOff>238125</xdr:rowOff>
    </xdr:to>
    <xdr:pic>
      <xdr:nvPicPr>
        <xdr:cNvPr id="47236" name="Image 19">
          <a:hlinkClick xmlns:r="http://schemas.openxmlformats.org/officeDocument/2006/relationships" r:id="rId3" tooltip="BFR en euros"/>
        </xdr:cNvPr>
        <xdr:cNvPicPr>
          <a:picLocks noChangeAspect="1"/>
        </xdr:cNvPicPr>
      </xdr:nvPicPr>
      <xdr:blipFill>
        <a:blip xmlns:r="http://schemas.openxmlformats.org/officeDocument/2006/relationships" r:embed="rId2" cstate="print"/>
        <a:srcRect/>
        <a:stretch>
          <a:fillRect/>
        </a:stretch>
      </xdr:blipFill>
      <xdr:spPr bwMode="auto">
        <a:xfrm>
          <a:off x="6343650" y="2990850"/>
          <a:ext cx="314325" cy="238125"/>
        </a:xfrm>
        <a:prstGeom prst="rect">
          <a:avLst/>
        </a:prstGeom>
        <a:noFill/>
        <a:ln w="9525">
          <a:noFill/>
          <a:miter lim="800000"/>
          <a:headEnd/>
          <a:tailEnd/>
        </a:ln>
      </xdr:spPr>
    </xdr:pic>
    <xdr:clientData/>
  </xdr:twoCellAnchor>
  <xdr:twoCellAnchor editAs="oneCell">
    <xdr:from>
      <xdr:col>10</xdr:col>
      <xdr:colOff>0</xdr:colOff>
      <xdr:row>13</xdr:row>
      <xdr:rowOff>0</xdr:rowOff>
    </xdr:from>
    <xdr:to>
      <xdr:col>10</xdr:col>
      <xdr:colOff>314325</xdr:colOff>
      <xdr:row>13</xdr:row>
      <xdr:rowOff>238125</xdr:rowOff>
    </xdr:to>
    <xdr:pic>
      <xdr:nvPicPr>
        <xdr:cNvPr id="47237" name="Image 20">
          <a:hlinkClick xmlns:r="http://schemas.openxmlformats.org/officeDocument/2006/relationships" r:id="rId4" tooltip="Trésorerie nette en jours de charges courantes"/>
        </xdr:cNvPr>
        <xdr:cNvPicPr>
          <a:picLocks noChangeAspect="1"/>
        </xdr:cNvPicPr>
      </xdr:nvPicPr>
      <xdr:blipFill>
        <a:blip xmlns:r="http://schemas.openxmlformats.org/officeDocument/2006/relationships" r:embed="rId2" cstate="print"/>
        <a:srcRect/>
        <a:stretch>
          <a:fillRect/>
        </a:stretch>
      </xdr:blipFill>
      <xdr:spPr bwMode="auto">
        <a:xfrm>
          <a:off x="6343650" y="3305175"/>
          <a:ext cx="314325" cy="238125"/>
        </a:xfrm>
        <a:prstGeom prst="rect">
          <a:avLst/>
        </a:prstGeom>
        <a:noFill/>
        <a:ln w="9525">
          <a:noFill/>
          <a:miter lim="800000"/>
          <a:headEnd/>
          <a:tailEnd/>
        </a:ln>
      </xdr:spPr>
    </xdr:pic>
    <xdr:clientData/>
  </xdr:twoCellAnchor>
  <xdr:twoCellAnchor editAs="oneCell">
    <xdr:from>
      <xdr:col>10</xdr:col>
      <xdr:colOff>0</xdr:colOff>
      <xdr:row>14</xdr:row>
      <xdr:rowOff>0</xdr:rowOff>
    </xdr:from>
    <xdr:to>
      <xdr:col>10</xdr:col>
      <xdr:colOff>314325</xdr:colOff>
      <xdr:row>14</xdr:row>
      <xdr:rowOff>238125</xdr:rowOff>
    </xdr:to>
    <xdr:pic>
      <xdr:nvPicPr>
        <xdr:cNvPr id="47238" name="Image 21">
          <a:hlinkClick xmlns:r="http://schemas.openxmlformats.org/officeDocument/2006/relationships" r:id="rId4" tooltip="Trésorerie nette en euros"/>
        </xdr:cNvPr>
        <xdr:cNvPicPr>
          <a:picLocks noChangeAspect="1"/>
        </xdr:cNvPicPr>
      </xdr:nvPicPr>
      <xdr:blipFill>
        <a:blip xmlns:r="http://schemas.openxmlformats.org/officeDocument/2006/relationships" r:embed="rId2" cstate="print"/>
        <a:srcRect/>
        <a:stretch>
          <a:fillRect/>
        </a:stretch>
      </xdr:blipFill>
      <xdr:spPr bwMode="auto">
        <a:xfrm>
          <a:off x="6343650" y="3619500"/>
          <a:ext cx="314325" cy="238125"/>
        </a:xfrm>
        <a:prstGeom prst="rect">
          <a:avLst/>
        </a:prstGeom>
        <a:noFill/>
        <a:ln w="9525">
          <a:noFill/>
          <a:miter lim="800000"/>
          <a:headEnd/>
          <a:tailEnd/>
        </a:ln>
      </xdr:spPr>
    </xdr:pic>
    <xdr:clientData/>
  </xdr:twoCellAnchor>
  <xdr:twoCellAnchor editAs="oneCell">
    <xdr:from>
      <xdr:col>10</xdr:col>
      <xdr:colOff>28575</xdr:colOff>
      <xdr:row>28</xdr:row>
      <xdr:rowOff>19050</xdr:rowOff>
    </xdr:from>
    <xdr:to>
      <xdr:col>10</xdr:col>
      <xdr:colOff>342900</xdr:colOff>
      <xdr:row>28</xdr:row>
      <xdr:rowOff>257175</xdr:rowOff>
    </xdr:to>
    <xdr:pic>
      <xdr:nvPicPr>
        <xdr:cNvPr id="47239" name="Image 22">
          <a:hlinkClick xmlns:r="http://schemas.openxmlformats.org/officeDocument/2006/relationships" r:id="rId5" tooltip="Taux d'indépendance financière"/>
        </xdr:cNvPr>
        <xdr:cNvPicPr>
          <a:picLocks noChangeAspect="1"/>
        </xdr:cNvPicPr>
      </xdr:nvPicPr>
      <xdr:blipFill>
        <a:blip xmlns:r="http://schemas.openxmlformats.org/officeDocument/2006/relationships" r:embed="rId2" cstate="print"/>
        <a:srcRect/>
        <a:stretch>
          <a:fillRect/>
        </a:stretch>
      </xdr:blipFill>
      <xdr:spPr bwMode="auto">
        <a:xfrm>
          <a:off x="6372225" y="6677025"/>
          <a:ext cx="314325" cy="238125"/>
        </a:xfrm>
        <a:prstGeom prst="rect">
          <a:avLst/>
        </a:prstGeom>
        <a:noFill/>
        <a:ln w="9525">
          <a:noFill/>
          <a:miter lim="800000"/>
          <a:headEnd/>
          <a:tailEnd/>
        </a:ln>
      </xdr:spPr>
    </xdr:pic>
    <xdr:clientData/>
  </xdr:twoCellAnchor>
  <xdr:twoCellAnchor editAs="oneCell">
    <xdr:from>
      <xdr:col>10</xdr:col>
      <xdr:colOff>9525</xdr:colOff>
      <xdr:row>29</xdr:row>
      <xdr:rowOff>38100</xdr:rowOff>
    </xdr:from>
    <xdr:to>
      <xdr:col>10</xdr:col>
      <xdr:colOff>323850</xdr:colOff>
      <xdr:row>29</xdr:row>
      <xdr:rowOff>276225</xdr:rowOff>
    </xdr:to>
    <xdr:pic>
      <xdr:nvPicPr>
        <xdr:cNvPr id="47240" name="Image 23">
          <a:hlinkClick xmlns:r="http://schemas.openxmlformats.org/officeDocument/2006/relationships" r:id="rId6" tooltip="Durée apparente de la dette"/>
        </xdr:cNvPr>
        <xdr:cNvPicPr>
          <a:picLocks noChangeAspect="1"/>
        </xdr:cNvPicPr>
      </xdr:nvPicPr>
      <xdr:blipFill>
        <a:blip xmlns:r="http://schemas.openxmlformats.org/officeDocument/2006/relationships" r:embed="rId2" cstate="print"/>
        <a:srcRect/>
        <a:stretch>
          <a:fillRect/>
        </a:stretch>
      </xdr:blipFill>
      <xdr:spPr bwMode="auto">
        <a:xfrm>
          <a:off x="6353175" y="7010400"/>
          <a:ext cx="314325" cy="238125"/>
        </a:xfrm>
        <a:prstGeom prst="rect">
          <a:avLst/>
        </a:prstGeom>
        <a:noFill/>
        <a:ln w="9525">
          <a:noFill/>
          <a:miter lim="800000"/>
          <a:headEnd/>
          <a:tailEnd/>
        </a:ln>
      </xdr:spPr>
    </xdr:pic>
    <xdr:clientData/>
  </xdr:twoCellAnchor>
  <xdr:twoCellAnchor editAs="oneCell">
    <xdr:from>
      <xdr:col>10</xdr:col>
      <xdr:colOff>0</xdr:colOff>
      <xdr:row>30</xdr:row>
      <xdr:rowOff>38100</xdr:rowOff>
    </xdr:from>
    <xdr:to>
      <xdr:col>10</xdr:col>
      <xdr:colOff>314325</xdr:colOff>
      <xdr:row>30</xdr:row>
      <xdr:rowOff>276225</xdr:rowOff>
    </xdr:to>
    <xdr:pic>
      <xdr:nvPicPr>
        <xdr:cNvPr id="47241" name="Image 24">
          <a:hlinkClick xmlns:r="http://schemas.openxmlformats.org/officeDocument/2006/relationships" r:id="rId7" tooltip="Encours de la dette"/>
        </xdr:cNvPr>
        <xdr:cNvPicPr>
          <a:picLocks noChangeAspect="1"/>
        </xdr:cNvPicPr>
      </xdr:nvPicPr>
      <xdr:blipFill>
        <a:blip xmlns:r="http://schemas.openxmlformats.org/officeDocument/2006/relationships" r:embed="rId2" cstate="print"/>
        <a:srcRect/>
        <a:stretch>
          <a:fillRect/>
        </a:stretch>
      </xdr:blipFill>
      <xdr:spPr bwMode="auto">
        <a:xfrm>
          <a:off x="6343650" y="7324725"/>
          <a:ext cx="314325" cy="238125"/>
        </a:xfrm>
        <a:prstGeom prst="rect">
          <a:avLst/>
        </a:prstGeom>
        <a:noFill/>
        <a:ln w="9525">
          <a:noFill/>
          <a:miter lim="800000"/>
          <a:headEnd/>
          <a:tailEnd/>
        </a:ln>
      </xdr:spPr>
    </xdr:pic>
    <xdr:clientData/>
  </xdr:twoCellAnchor>
  <xdr:twoCellAnchor editAs="oneCell">
    <xdr:from>
      <xdr:col>10</xdr:col>
      <xdr:colOff>0</xdr:colOff>
      <xdr:row>81</xdr:row>
      <xdr:rowOff>0</xdr:rowOff>
    </xdr:from>
    <xdr:to>
      <xdr:col>10</xdr:col>
      <xdr:colOff>314325</xdr:colOff>
      <xdr:row>81</xdr:row>
      <xdr:rowOff>238125</xdr:rowOff>
    </xdr:to>
    <xdr:pic>
      <xdr:nvPicPr>
        <xdr:cNvPr id="47242" name="Image 25">
          <a:hlinkClick xmlns:r="http://schemas.openxmlformats.org/officeDocument/2006/relationships" r:id="rId8" tooltip="Délai de rotation des créances d'exploitation"/>
        </xdr:cNvPr>
        <xdr:cNvPicPr>
          <a:picLocks noChangeAspect="1"/>
        </xdr:cNvPicPr>
      </xdr:nvPicPr>
      <xdr:blipFill>
        <a:blip xmlns:r="http://schemas.openxmlformats.org/officeDocument/2006/relationships" r:embed="rId2" cstate="print"/>
        <a:srcRect/>
        <a:stretch>
          <a:fillRect/>
        </a:stretch>
      </xdr:blipFill>
      <xdr:spPr bwMode="auto">
        <a:xfrm>
          <a:off x="6343650" y="19230975"/>
          <a:ext cx="314325" cy="238125"/>
        </a:xfrm>
        <a:prstGeom prst="rect">
          <a:avLst/>
        </a:prstGeom>
        <a:noFill/>
        <a:ln w="9525">
          <a:noFill/>
          <a:miter lim="800000"/>
          <a:headEnd/>
          <a:tailEnd/>
        </a:ln>
      </xdr:spPr>
    </xdr:pic>
    <xdr:clientData/>
  </xdr:twoCellAnchor>
  <xdr:twoCellAnchor editAs="oneCell">
    <xdr:from>
      <xdr:col>10</xdr:col>
      <xdr:colOff>0</xdr:colOff>
      <xdr:row>82</xdr:row>
      <xdr:rowOff>0</xdr:rowOff>
    </xdr:from>
    <xdr:to>
      <xdr:col>10</xdr:col>
      <xdr:colOff>314325</xdr:colOff>
      <xdr:row>82</xdr:row>
      <xdr:rowOff>238125</xdr:rowOff>
    </xdr:to>
    <xdr:pic>
      <xdr:nvPicPr>
        <xdr:cNvPr id="47243" name="Image 26">
          <a:hlinkClick xmlns:r="http://schemas.openxmlformats.org/officeDocument/2006/relationships" r:id="rId9" tooltip="Délai de rotation des dettes d'exploitation"/>
        </xdr:cNvPr>
        <xdr:cNvPicPr>
          <a:picLocks noChangeAspect="1"/>
        </xdr:cNvPicPr>
      </xdr:nvPicPr>
      <xdr:blipFill>
        <a:blip xmlns:r="http://schemas.openxmlformats.org/officeDocument/2006/relationships" r:embed="rId2" cstate="print"/>
        <a:srcRect/>
        <a:stretch>
          <a:fillRect/>
        </a:stretch>
      </xdr:blipFill>
      <xdr:spPr bwMode="auto">
        <a:xfrm>
          <a:off x="6343650" y="19545300"/>
          <a:ext cx="314325" cy="238125"/>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314325</xdr:colOff>
      <xdr:row>6</xdr:row>
      <xdr:rowOff>238125</xdr:rowOff>
    </xdr:to>
    <xdr:pic>
      <xdr:nvPicPr>
        <xdr:cNvPr id="47244" name="Image 27">
          <a:hlinkClick xmlns:r="http://schemas.openxmlformats.org/officeDocument/2006/relationships" r:id="rId10" tooltip="Fonds de roulement d'investissement"/>
        </xdr:cNvPr>
        <xdr:cNvPicPr>
          <a:picLocks noChangeAspect="1"/>
        </xdr:cNvPicPr>
      </xdr:nvPicPr>
      <xdr:blipFill>
        <a:blip xmlns:r="http://schemas.openxmlformats.org/officeDocument/2006/relationships" r:embed="rId2" cstate="print"/>
        <a:srcRect/>
        <a:stretch>
          <a:fillRect/>
        </a:stretch>
      </xdr:blipFill>
      <xdr:spPr bwMode="auto">
        <a:xfrm>
          <a:off x="6343650" y="1104900"/>
          <a:ext cx="314325" cy="238125"/>
        </a:xfrm>
        <a:prstGeom prst="rect">
          <a:avLst/>
        </a:prstGeom>
        <a:noFill/>
        <a:ln w="9525">
          <a:noFill/>
          <a:miter lim="800000"/>
          <a:headEnd/>
          <a:tailEnd/>
        </a:ln>
      </xdr:spPr>
    </xdr:pic>
    <xdr:clientData/>
  </xdr:twoCellAnchor>
  <xdr:twoCellAnchor editAs="oneCell">
    <xdr:from>
      <xdr:col>10</xdr:col>
      <xdr:colOff>0</xdr:colOff>
      <xdr:row>8</xdr:row>
      <xdr:rowOff>0</xdr:rowOff>
    </xdr:from>
    <xdr:to>
      <xdr:col>10</xdr:col>
      <xdr:colOff>314325</xdr:colOff>
      <xdr:row>8</xdr:row>
      <xdr:rowOff>238125</xdr:rowOff>
    </xdr:to>
    <xdr:pic>
      <xdr:nvPicPr>
        <xdr:cNvPr id="47245" name="Image 28">
          <a:hlinkClick xmlns:r="http://schemas.openxmlformats.org/officeDocument/2006/relationships" r:id="rId11" tooltip="Fonds de roulement d'exploitation"/>
        </xdr:cNvPr>
        <xdr:cNvPicPr>
          <a:picLocks noChangeAspect="1"/>
        </xdr:cNvPicPr>
      </xdr:nvPicPr>
      <xdr:blipFill>
        <a:blip xmlns:r="http://schemas.openxmlformats.org/officeDocument/2006/relationships" r:embed="rId2" cstate="print"/>
        <a:srcRect/>
        <a:stretch>
          <a:fillRect/>
        </a:stretch>
      </xdr:blipFill>
      <xdr:spPr bwMode="auto">
        <a:xfrm>
          <a:off x="6343650" y="1733550"/>
          <a:ext cx="314325" cy="238125"/>
        </a:xfrm>
        <a:prstGeom prst="rect">
          <a:avLst/>
        </a:prstGeom>
        <a:noFill/>
        <a:ln w="9525">
          <a:noFill/>
          <a:miter lim="800000"/>
          <a:headEnd/>
          <a:tailEnd/>
        </a:ln>
      </xdr:spPr>
    </xdr:pic>
    <xdr:clientData/>
  </xdr:twoCellAnchor>
  <xdr:twoCellAnchor>
    <xdr:from>
      <xdr:col>1</xdr:col>
      <xdr:colOff>200025</xdr:colOff>
      <xdr:row>67</xdr:row>
      <xdr:rowOff>161925</xdr:rowOff>
    </xdr:from>
    <xdr:to>
      <xdr:col>6</xdr:col>
      <xdr:colOff>381000</xdr:colOff>
      <xdr:row>77</xdr:row>
      <xdr:rowOff>85725</xdr:rowOff>
    </xdr:to>
    <xdr:graphicFrame macro="">
      <xdr:nvGraphicFramePr>
        <xdr:cNvPr id="47246"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10</xdr:col>
      <xdr:colOff>0</xdr:colOff>
      <xdr:row>65</xdr:row>
      <xdr:rowOff>0</xdr:rowOff>
    </xdr:from>
    <xdr:to>
      <xdr:col>10</xdr:col>
      <xdr:colOff>314325</xdr:colOff>
      <xdr:row>65</xdr:row>
      <xdr:rowOff>238125</xdr:rowOff>
    </xdr:to>
    <xdr:pic>
      <xdr:nvPicPr>
        <xdr:cNvPr id="47247" name="Image 31">
          <a:hlinkClick xmlns:r="http://schemas.openxmlformats.org/officeDocument/2006/relationships" r:id="rId13" tooltip="Capacité / Insuffisance d'autofinancement"/>
        </xdr:cNvPr>
        <xdr:cNvPicPr>
          <a:picLocks noChangeAspect="1"/>
        </xdr:cNvPicPr>
      </xdr:nvPicPr>
      <xdr:blipFill>
        <a:blip xmlns:r="http://schemas.openxmlformats.org/officeDocument/2006/relationships" r:embed="rId2" cstate="print"/>
        <a:srcRect/>
        <a:stretch>
          <a:fillRect/>
        </a:stretch>
      </xdr:blipFill>
      <xdr:spPr bwMode="auto">
        <a:xfrm>
          <a:off x="6343650" y="15668625"/>
          <a:ext cx="314325" cy="238125"/>
        </a:xfrm>
        <a:prstGeom prst="rect">
          <a:avLst/>
        </a:prstGeom>
        <a:noFill/>
        <a:ln w="9525">
          <a:noFill/>
          <a:miter lim="800000"/>
          <a:headEnd/>
          <a:tailEnd/>
        </a:ln>
      </xdr:spPr>
    </xdr:pic>
    <xdr:clientData/>
  </xdr:twoCellAnchor>
  <xdr:twoCellAnchor editAs="oneCell">
    <xdr:from>
      <xdr:col>10</xdr:col>
      <xdr:colOff>0</xdr:colOff>
      <xdr:row>66</xdr:row>
      <xdr:rowOff>0</xdr:rowOff>
    </xdr:from>
    <xdr:to>
      <xdr:col>10</xdr:col>
      <xdr:colOff>314325</xdr:colOff>
      <xdr:row>66</xdr:row>
      <xdr:rowOff>238125</xdr:rowOff>
    </xdr:to>
    <xdr:pic>
      <xdr:nvPicPr>
        <xdr:cNvPr id="47248" name="Image 32">
          <a:hlinkClick xmlns:r="http://schemas.openxmlformats.org/officeDocument/2006/relationships" r:id="rId14" tooltip="Taux de marge brute"/>
        </xdr:cNvPr>
        <xdr:cNvPicPr>
          <a:picLocks noChangeAspect="1"/>
        </xdr:cNvPicPr>
      </xdr:nvPicPr>
      <xdr:blipFill>
        <a:blip xmlns:r="http://schemas.openxmlformats.org/officeDocument/2006/relationships" r:embed="rId2" cstate="print"/>
        <a:srcRect/>
        <a:stretch>
          <a:fillRect/>
        </a:stretch>
      </xdr:blipFill>
      <xdr:spPr bwMode="auto">
        <a:xfrm>
          <a:off x="6343650" y="15982950"/>
          <a:ext cx="314325" cy="238125"/>
        </a:xfrm>
        <a:prstGeom prst="rect">
          <a:avLst/>
        </a:prstGeom>
        <a:noFill/>
        <a:ln w="9525">
          <a:noFill/>
          <a:miter lim="800000"/>
          <a:headEnd/>
          <a:tailEnd/>
        </a:ln>
      </xdr:spPr>
    </xdr:pic>
    <xdr:clientData/>
  </xdr:twoCellAnchor>
  <xdr:twoCellAnchor>
    <xdr:from>
      <xdr:col>3</xdr:col>
      <xdr:colOff>390525</xdr:colOff>
      <xdr:row>15</xdr:row>
      <xdr:rowOff>152400</xdr:rowOff>
    </xdr:from>
    <xdr:to>
      <xdr:col>10</xdr:col>
      <xdr:colOff>628650</xdr:colOff>
      <xdr:row>25</xdr:row>
      <xdr:rowOff>104775</xdr:rowOff>
    </xdr:to>
    <xdr:graphicFrame macro="">
      <xdr:nvGraphicFramePr>
        <xdr:cNvPr id="47249"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133350</xdr:colOff>
      <xdr:row>0</xdr:row>
      <xdr:rowOff>161925</xdr:rowOff>
    </xdr:from>
    <xdr:to>
      <xdr:col>2</xdr:col>
      <xdr:colOff>408517</xdr:colOff>
      <xdr:row>2</xdr:row>
      <xdr:rowOff>88900</xdr:rowOff>
    </xdr:to>
    <xdr:sp macro="" textlink="">
      <xdr:nvSpPr>
        <xdr:cNvPr id="30" name="Rectangle à coins arrondis 29">
          <a:hlinkClick xmlns:r="http://schemas.openxmlformats.org/officeDocument/2006/relationships" r:id="rId16" tooltip="Retour MENU"/>
        </xdr:cNvPr>
        <xdr:cNvSpPr/>
      </xdr:nvSpPr>
      <xdr:spPr>
        <a:xfrm>
          <a:off x="133350" y="161925"/>
          <a:ext cx="656167" cy="34607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3</xdr:col>
      <xdr:colOff>457200</xdr:colOff>
      <xdr:row>83</xdr:row>
      <xdr:rowOff>209550</xdr:rowOff>
    </xdr:from>
    <xdr:to>
      <xdr:col>6</xdr:col>
      <xdr:colOff>466725</xdr:colOff>
      <xdr:row>94</xdr:row>
      <xdr:rowOff>76200</xdr:rowOff>
    </xdr:to>
    <xdr:graphicFrame macro="">
      <xdr:nvGraphicFramePr>
        <xdr:cNvPr id="47251"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800100</xdr:colOff>
      <xdr:row>83</xdr:row>
      <xdr:rowOff>209550</xdr:rowOff>
    </xdr:from>
    <xdr:to>
      <xdr:col>11</xdr:col>
      <xdr:colOff>76200</xdr:colOff>
      <xdr:row>94</xdr:row>
      <xdr:rowOff>66675</xdr:rowOff>
    </xdr:to>
    <xdr:graphicFrame macro="">
      <xdr:nvGraphicFramePr>
        <xdr:cNvPr id="47252"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723900</xdr:colOff>
      <xdr:row>32</xdr:row>
      <xdr:rowOff>133350</xdr:rowOff>
    </xdr:from>
    <xdr:to>
      <xdr:col>11</xdr:col>
      <xdr:colOff>695325</xdr:colOff>
      <xdr:row>40</xdr:row>
      <xdr:rowOff>123825</xdr:rowOff>
    </xdr:to>
    <xdr:graphicFrame macro="">
      <xdr:nvGraphicFramePr>
        <xdr:cNvPr id="47253"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28575</xdr:colOff>
      <xdr:row>67</xdr:row>
      <xdr:rowOff>152400</xdr:rowOff>
    </xdr:from>
    <xdr:to>
      <xdr:col>12</xdr:col>
      <xdr:colOff>504825</xdr:colOff>
      <xdr:row>77</xdr:row>
      <xdr:rowOff>114300</xdr:rowOff>
    </xdr:to>
    <xdr:graphicFrame macro="">
      <xdr:nvGraphicFramePr>
        <xdr:cNvPr id="47254"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1162050</xdr:colOff>
      <xdr:row>32</xdr:row>
      <xdr:rowOff>133350</xdr:rowOff>
    </xdr:from>
    <xdr:to>
      <xdr:col>6</xdr:col>
      <xdr:colOff>485775</xdr:colOff>
      <xdr:row>40</xdr:row>
      <xdr:rowOff>123825</xdr:rowOff>
    </xdr:to>
    <xdr:graphicFrame macro="">
      <xdr:nvGraphicFramePr>
        <xdr:cNvPr id="47255"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1171575</xdr:colOff>
      <xdr:row>41</xdr:row>
      <xdr:rowOff>38100</xdr:rowOff>
    </xdr:from>
    <xdr:to>
      <xdr:col>6</xdr:col>
      <xdr:colOff>485775</xdr:colOff>
      <xdr:row>49</xdr:row>
      <xdr:rowOff>28575</xdr:rowOff>
    </xdr:to>
    <xdr:graphicFrame macro="">
      <xdr:nvGraphicFramePr>
        <xdr:cNvPr id="47256"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10</xdr:col>
      <xdr:colOff>0</xdr:colOff>
      <xdr:row>7</xdr:row>
      <xdr:rowOff>0</xdr:rowOff>
    </xdr:from>
    <xdr:to>
      <xdr:col>10</xdr:col>
      <xdr:colOff>314325</xdr:colOff>
      <xdr:row>7</xdr:row>
      <xdr:rowOff>238125</xdr:rowOff>
    </xdr:to>
    <xdr:pic>
      <xdr:nvPicPr>
        <xdr:cNvPr id="47257" name="Image 35">
          <a:hlinkClick xmlns:r="http://schemas.openxmlformats.org/officeDocument/2006/relationships" r:id="rId23" tooltip="Capacité d'investissement"/>
        </xdr:cNvPr>
        <xdr:cNvPicPr>
          <a:picLocks noChangeAspect="1"/>
        </xdr:cNvPicPr>
      </xdr:nvPicPr>
      <xdr:blipFill>
        <a:blip xmlns:r="http://schemas.openxmlformats.org/officeDocument/2006/relationships" r:embed="rId2" cstate="print"/>
        <a:srcRect/>
        <a:stretch>
          <a:fillRect/>
        </a:stretch>
      </xdr:blipFill>
      <xdr:spPr bwMode="auto">
        <a:xfrm>
          <a:off x="6343650" y="1419225"/>
          <a:ext cx="314325" cy="238125"/>
        </a:xfrm>
        <a:prstGeom prst="rect">
          <a:avLst/>
        </a:prstGeom>
        <a:noFill/>
        <a:ln w="9525">
          <a:noFill/>
          <a:miter lim="800000"/>
          <a:headEnd/>
          <a:tailEnd/>
        </a:ln>
      </xdr:spPr>
    </xdr:pic>
    <xdr:clientData/>
  </xdr:twoCellAnchor>
  <xdr:twoCellAnchor>
    <xdr:from>
      <xdr:col>11</xdr:col>
      <xdr:colOff>123826</xdr:colOff>
      <xdr:row>0</xdr:row>
      <xdr:rowOff>190500</xdr:rowOff>
    </xdr:from>
    <xdr:to>
      <xdr:col>12</xdr:col>
      <xdr:colOff>1343025</xdr:colOff>
      <xdr:row>3</xdr:row>
      <xdr:rowOff>77220</xdr:rowOff>
    </xdr:to>
    <xdr:sp macro="" textlink="">
      <xdr:nvSpPr>
        <xdr:cNvPr id="27" name="Rectangle à coins arrondis 26">
          <a:hlinkClick xmlns:r="http://schemas.openxmlformats.org/officeDocument/2006/relationships" r:id="rId24" tooltip="Compléter le Programme Pluriannuel d'Investissement"/>
        </xdr:cNvPr>
        <xdr:cNvSpPr/>
      </xdr:nvSpPr>
      <xdr:spPr>
        <a:xfrm>
          <a:off x="7229476" y="190500"/>
          <a:ext cx="1981199" cy="51537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100" b="1">
              <a:solidFill>
                <a:schemeClr val="lt1"/>
              </a:solidFill>
              <a:latin typeface="+mn-lt"/>
              <a:ea typeface="+mn-ea"/>
              <a:cs typeface="+mn-cs"/>
            </a:rPr>
            <a:t>1) </a:t>
          </a:r>
          <a:r>
            <a:rPr lang="fr-FR" sz="1100">
              <a:solidFill>
                <a:schemeClr val="lt1"/>
              </a:solidFill>
              <a:latin typeface="+mn-lt"/>
              <a:ea typeface="+mn-ea"/>
              <a:cs typeface="+mn-cs"/>
            </a:rPr>
            <a:t>Compléter</a:t>
          </a:r>
          <a:r>
            <a:rPr lang="fr-FR" sz="1100" baseline="0">
              <a:solidFill>
                <a:schemeClr val="lt1"/>
              </a:solidFill>
              <a:latin typeface="+mn-lt"/>
              <a:ea typeface="+mn-ea"/>
              <a:cs typeface="+mn-cs"/>
            </a:rPr>
            <a:t> le </a:t>
          </a:r>
          <a:r>
            <a:rPr lang="fr-FR" sz="1100" b="1" baseline="0">
              <a:solidFill>
                <a:sysClr val="windowText" lastClr="000000"/>
              </a:solidFill>
              <a:latin typeface="+mn-lt"/>
              <a:ea typeface="+mn-ea"/>
              <a:cs typeface="+mn-cs"/>
            </a:rPr>
            <a:t>Programme Pluriannuel d'Investissement</a:t>
          </a:r>
          <a:endParaRPr lang="fr-FR" sz="1100" b="1">
            <a:solidFill>
              <a:sysClr val="windowText" lastClr="000000"/>
            </a:solidFill>
            <a:latin typeface="+mn-lt"/>
            <a:ea typeface="+mn-ea"/>
            <a:cs typeface="+mn-cs"/>
          </a:endParaRPr>
        </a:p>
      </xdr:txBody>
    </xdr:sp>
    <xdr:clientData/>
  </xdr:twoCellAnchor>
  <xdr:twoCellAnchor editAs="oneCell">
    <xdr:from>
      <xdr:col>10</xdr:col>
      <xdr:colOff>19050</xdr:colOff>
      <xdr:row>53</xdr:row>
      <xdr:rowOff>19050</xdr:rowOff>
    </xdr:from>
    <xdr:to>
      <xdr:col>10</xdr:col>
      <xdr:colOff>333375</xdr:colOff>
      <xdr:row>53</xdr:row>
      <xdr:rowOff>257175</xdr:rowOff>
    </xdr:to>
    <xdr:pic>
      <xdr:nvPicPr>
        <xdr:cNvPr id="47259" name="Image 25">
          <a:hlinkClick xmlns:r="http://schemas.openxmlformats.org/officeDocument/2006/relationships" r:id="rId25" tooltip="Taux de vétusté des constructions"/>
        </xdr:cNvPr>
        <xdr:cNvPicPr>
          <a:picLocks noChangeAspect="1"/>
        </xdr:cNvPicPr>
      </xdr:nvPicPr>
      <xdr:blipFill>
        <a:blip xmlns:r="http://schemas.openxmlformats.org/officeDocument/2006/relationships" r:embed="rId2" cstate="print"/>
        <a:srcRect/>
        <a:stretch>
          <a:fillRect/>
        </a:stretch>
      </xdr:blipFill>
      <xdr:spPr bwMode="auto">
        <a:xfrm>
          <a:off x="6362700" y="12334875"/>
          <a:ext cx="314325" cy="238125"/>
        </a:xfrm>
        <a:prstGeom prst="rect">
          <a:avLst/>
        </a:prstGeom>
        <a:noFill/>
        <a:ln w="9525">
          <a:noFill/>
          <a:miter lim="800000"/>
          <a:headEnd/>
          <a:tailEnd/>
        </a:ln>
      </xdr:spPr>
    </xdr:pic>
    <xdr:clientData/>
  </xdr:twoCellAnchor>
  <xdr:twoCellAnchor editAs="oneCell">
    <xdr:from>
      <xdr:col>10</xdr:col>
      <xdr:colOff>19050</xdr:colOff>
      <xdr:row>54</xdr:row>
      <xdr:rowOff>57150</xdr:rowOff>
    </xdr:from>
    <xdr:to>
      <xdr:col>10</xdr:col>
      <xdr:colOff>333375</xdr:colOff>
      <xdr:row>54</xdr:row>
      <xdr:rowOff>295275</xdr:rowOff>
    </xdr:to>
    <xdr:pic>
      <xdr:nvPicPr>
        <xdr:cNvPr id="47260" name="Image 25">
          <a:hlinkClick xmlns:r="http://schemas.openxmlformats.org/officeDocument/2006/relationships" r:id="rId26" tooltip="Taux de vétusté des équipements"/>
        </xdr:cNvPr>
        <xdr:cNvPicPr>
          <a:picLocks noChangeAspect="1"/>
        </xdr:cNvPicPr>
      </xdr:nvPicPr>
      <xdr:blipFill>
        <a:blip xmlns:r="http://schemas.openxmlformats.org/officeDocument/2006/relationships" r:embed="rId2" cstate="print"/>
        <a:srcRect/>
        <a:stretch>
          <a:fillRect/>
        </a:stretch>
      </xdr:blipFill>
      <xdr:spPr bwMode="auto">
        <a:xfrm>
          <a:off x="6362700" y="12687300"/>
          <a:ext cx="314325" cy="238125"/>
        </a:xfrm>
        <a:prstGeom prst="rect">
          <a:avLst/>
        </a:prstGeom>
        <a:noFill/>
        <a:ln w="9525">
          <a:noFill/>
          <a:miter lim="800000"/>
          <a:headEnd/>
          <a:tailEnd/>
        </a:ln>
      </xdr:spPr>
    </xdr:pic>
    <xdr:clientData/>
  </xdr:twoCellAnchor>
  <xdr:twoCellAnchor>
    <xdr:from>
      <xdr:col>2</xdr:col>
      <xdr:colOff>723900</xdr:colOff>
      <xdr:row>55</xdr:row>
      <xdr:rowOff>238125</xdr:rowOff>
    </xdr:from>
    <xdr:to>
      <xdr:col>6</xdr:col>
      <xdr:colOff>0</xdr:colOff>
      <xdr:row>61</xdr:row>
      <xdr:rowOff>19050</xdr:rowOff>
    </xdr:to>
    <xdr:graphicFrame macro="">
      <xdr:nvGraphicFramePr>
        <xdr:cNvPr id="47261"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9525</xdr:colOff>
      <xdr:row>55</xdr:row>
      <xdr:rowOff>228600</xdr:rowOff>
    </xdr:from>
    <xdr:to>
      <xdr:col>12</xdr:col>
      <xdr:colOff>381000</xdr:colOff>
      <xdr:row>61</xdr:row>
      <xdr:rowOff>28575</xdr:rowOff>
    </xdr:to>
    <xdr:graphicFrame macro="">
      <xdr:nvGraphicFramePr>
        <xdr:cNvPr id="47262"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10</xdr:col>
      <xdr:colOff>0</xdr:colOff>
      <xdr:row>31</xdr:row>
      <xdr:rowOff>66675</xdr:rowOff>
    </xdr:from>
    <xdr:to>
      <xdr:col>10</xdr:col>
      <xdr:colOff>314325</xdr:colOff>
      <xdr:row>31</xdr:row>
      <xdr:rowOff>304800</xdr:rowOff>
    </xdr:to>
    <xdr:pic>
      <xdr:nvPicPr>
        <xdr:cNvPr id="47263" name="Image 24">
          <a:hlinkClick xmlns:r="http://schemas.openxmlformats.org/officeDocument/2006/relationships" r:id="rId29" tooltip="Taux d'apurement de la dette"/>
        </xdr:cNvPr>
        <xdr:cNvPicPr>
          <a:picLocks noChangeAspect="1"/>
        </xdr:cNvPicPr>
      </xdr:nvPicPr>
      <xdr:blipFill>
        <a:blip xmlns:r="http://schemas.openxmlformats.org/officeDocument/2006/relationships" r:embed="rId2" cstate="print"/>
        <a:srcRect/>
        <a:stretch>
          <a:fillRect/>
        </a:stretch>
      </xdr:blipFill>
      <xdr:spPr bwMode="auto">
        <a:xfrm>
          <a:off x="6343650" y="7667625"/>
          <a:ext cx="314325" cy="238125"/>
        </a:xfrm>
        <a:prstGeom prst="rect">
          <a:avLst/>
        </a:prstGeom>
        <a:noFill/>
        <a:ln w="9525">
          <a:noFill/>
          <a:miter lim="800000"/>
          <a:headEnd/>
          <a:tailEnd/>
        </a:ln>
      </xdr:spPr>
    </xdr:pic>
    <xdr:clientData/>
  </xdr:twoCellAnchor>
  <xdr:twoCellAnchor>
    <xdr:from>
      <xdr:col>6</xdr:col>
      <xdr:colOff>723900</xdr:colOff>
      <xdr:row>41</xdr:row>
      <xdr:rowOff>66675</xdr:rowOff>
    </xdr:from>
    <xdr:to>
      <xdr:col>11</xdr:col>
      <xdr:colOff>695325</xdr:colOff>
      <xdr:row>49</xdr:row>
      <xdr:rowOff>28575</xdr:rowOff>
    </xdr:to>
    <xdr:graphicFrame macro="">
      <xdr:nvGraphicFramePr>
        <xdr:cNvPr id="47264"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1318493</xdr:colOff>
      <xdr:row>1</xdr:row>
      <xdr:rowOff>20902</xdr:rowOff>
    </xdr:from>
    <xdr:to>
      <xdr:col>8</xdr:col>
      <xdr:colOff>1973716</xdr:colOff>
      <xdr:row>2</xdr:row>
      <xdr:rowOff>59266</xdr:rowOff>
    </xdr:to>
    <xdr:sp macro="" textlink="">
      <xdr:nvSpPr>
        <xdr:cNvPr id="2" name="Rectangle à coins arrondis 1">
          <a:hlinkClick xmlns:r="http://schemas.openxmlformats.org/officeDocument/2006/relationships" r:id="rId1" tooltip="Retour MENU"/>
        </xdr:cNvPr>
        <xdr:cNvSpPr/>
      </xdr:nvSpPr>
      <xdr:spPr>
        <a:xfrm>
          <a:off x="8666350" y="75331"/>
          <a:ext cx="655223" cy="351328"/>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1262063</xdr:colOff>
      <xdr:row>158</xdr:row>
      <xdr:rowOff>10582</xdr:rowOff>
    </xdr:from>
    <xdr:to>
      <xdr:col>8</xdr:col>
      <xdr:colOff>1964531</xdr:colOff>
      <xdr:row>159</xdr:row>
      <xdr:rowOff>83343</xdr:rowOff>
    </xdr:to>
    <xdr:sp macro="" textlink="">
      <xdr:nvSpPr>
        <xdr:cNvPr id="6" name="Rectangle à coins arrondis 5">
          <a:hlinkClick xmlns:r="http://schemas.openxmlformats.org/officeDocument/2006/relationships" r:id="rId1" tooltip="Retour MENU"/>
        </xdr:cNvPr>
        <xdr:cNvSpPr/>
      </xdr:nvSpPr>
      <xdr:spPr>
        <a:xfrm>
          <a:off x="8608219" y="34336301"/>
          <a:ext cx="702468" cy="382323"/>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201</xdr:row>
      <xdr:rowOff>10584</xdr:rowOff>
    </xdr:from>
    <xdr:to>
      <xdr:col>9</xdr:col>
      <xdr:colOff>0</xdr:colOff>
      <xdr:row>202</xdr:row>
      <xdr:rowOff>71438</xdr:rowOff>
    </xdr:to>
    <xdr:sp macro="" textlink="">
      <xdr:nvSpPr>
        <xdr:cNvPr id="7" name="Rectangle à coins arrondis 6">
          <a:hlinkClick xmlns:r="http://schemas.openxmlformats.org/officeDocument/2006/relationships" r:id="rId1" tooltip="Retour MENU"/>
        </xdr:cNvPr>
        <xdr:cNvSpPr/>
      </xdr:nvSpPr>
      <xdr:spPr>
        <a:xfrm>
          <a:off x="8669073" y="43373147"/>
          <a:ext cx="653521" cy="370416"/>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1303072</xdr:colOff>
      <xdr:row>247</xdr:row>
      <xdr:rowOff>7939</xdr:rowOff>
    </xdr:from>
    <xdr:to>
      <xdr:col>8</xdr:col>
      <xdr:colOff>1960563</xdr:colOff>
      <xdr:row>248</xdr:row>
      <xdr:rowOff>47625</xdr:rowOff>
    </xdr:to>
    <xdr:sp macro="" textlink="">
      <xdr:nvSpPr>
        <xdr:cNvPr id="8" name="Rectangle à coins arrondis 7">
          <a:hlinkClick xmlns:r="http://schemas.openxmlformats.org/officeDocument/2006/relationships" r:id="rId1" tooltip="Retour MENU"/>
        </xdr:cNvPr>
        <xdr:cNvSpPr/>
      </xdr:nvSpPr>
      <xdr:spPr>
        <a:xfrm>
          <a:off x="8649228" y="52955033"/>
          <a:ext cx="657491" cy="349248"/>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278</xdr:row>
      <xdr:rowOff>10583</xdr:rowOff>
    </xdr:from>
    <xdr:to>
      <xdr:col>9</xdr:col>
      <xdr:colOff>0</xdr:colOff>
      <xdr:row>279</xdr:row>
      <xdr:rowOff>10584</xdr:rowOff>
    </xdr:to>
    <xdr:sp macro="" textlink="">
      <xdr:nvSpPr>
        <xdr:cNvPr id="9" name="Rectangle à coins arrondis 8">
          <a:hlinkClick xmlns:r="http://schemas.openxmlformats.org/officeDocument/2006/relationships" r:id="rId1" tooltip="Retour MENU"/>
        </xdr:cNvPr>
        <xdr:cNvSpPr/>
      </xdr:nvSpPr>
      <xdr:spPr>
        <a:xfrm>
          <a:off x="9059334" y="53869166"/>
          <a:ext cx="656167" cy="317501"/>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413</xdr:row>
      <xdr:rowOff>10583</xdr:rowOff>
    </xdr:from>
    <xdr:to>
      <xdr:col>8</xdr:col>
      <xdr:colOff>1968500</xdr:colOff>
      <xdr:row>414</xdr:row>
      <xdr:rowOff>21167</xdr:rowOff>
    </xdr:to>
    <xdr:sp macro="" textlink="">
      <xdr:nvSpPr>
        <xdr:cNvPr id="11" name="Rectangle à coins arrondis 10">
          <a:hlinkClick xmlns:r="http://schemas.openxmlformats.org/officeDocument/2006/relationships" r:id="rId1" tooltip="Retour MENU"/>
        </xdr:cNvPr>
        <xdr:cNvSpPr/>
      </xdr:nvSpPr>
      <xdr:spPr>
        <a:xfrm>
          <a:off x="9048750" y="64367833"/>
          <a:ext cx="656167" cy="328084"/>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454</xdr:row>
      <xdr:rowOff>10583</xdr:rowOff>
    </xdr:from>
    <xdr:to>
      <xdr:col>8</xdr:col>
      <xdr:colOff>1968500</xdr:colOff>
      <xdr:row>455</xdr:row>
      <xdr:rowOff>10583</xdr:rowOff>
    </xdr:to>
    <xdr:sp macro="" textlink="">
      <xdr:nvSpPr>
        <xdr:cNvPr id="12" name="Rectangle à coins arrondis 11">
          <a:hlinkClick xmlns:r="http://schemas.openxmlformats.org/officeDocument/2006/relationships" r:id="rId1" tooltip="Retour MENU"/>
        </xdr:cNvPr>
        <xdr:cNvSpPr/>
      </xdr:nvSpPr>
      <xdr:spPr>
        <a:xfrm>
          <a:off x="9048750" y="73130833"/>
          <a:ext cx="656167" cy="3175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490</xdr:row>
      <xdr:rowOff>0</xdr:rowOff>
    </xdr:from>
    <xdr:to>
      <xdr:col>8</xdr:col>
      <xdr:colOff>1968500</xdr:colOff>
      <xdr:row>491</xdr:row>
      <xdr:rowOff>21167</xdr:rowOff>
    </xdr:to>
    <xdr:sp macro="" textlink="">
      <xdr:nvSpPr>
        <xdr:cNvPr id="13" name="Rectangle à coins arrondis 12">
          <a:hlinkClick xmlns:r="http://schemas.openxmlformats.org/officeDocument/2006/relationships" r:id="rId1" tooltip="Retour MENU"/>
        </xdr:cNvPr>
        <xdr:cNvSpPr/>
      </xdr:nvSpPr>
      <xdr:spPr>
        <a:xfrm>
          <a:off x="9048750" y="79385583"/>
          <a:ext cx="656167" cy="338667"/>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512</xdr:row>
      <xdr:rowOff>0</xdr:rowOff>
    </xdr:from>
    <xdr:to>
      <xdr:col>8</xdr:col>
      <xdr:colOff>1968500</xdr:colOff>
      <xdr:row>513</xdr:row>
      <xdr:rowOff>10583</xdr:rowOff>
    </xdr:to>
    <xdr:sp macro="" textlink="">
      <xdr:nvSpPr>
        <xdr:cNvPr id="14" name="Rectangle à coins arrondis 13">
          <a:hlinkClick xmlns:r="http://schemas.openxmlformats.org/officeDocument/2006/relationships" r:id="rId1" tooltip="Retour MENU"/>
        </xdr:cNvPr>
        <xdr:cNvSpPr/>
      </xdr:nvSpPr>
      <xdr:spPr>
        <a:xfrm>
          <a:off x="9048750" y="83915250"/>
          <a:ext cx="656167" cy="328083"/>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543</xdr:row>
      <xdr:rowOff>1</xdr:rowOff>
    </xdr:from>
    <xdr:to>
      <xdr:col>8</xdr:col>
      <xdr:colOff>1968500</xdr:colOff>
      <xdr:row>544</xdr:row>
      <xdr:rowOff>21167</xdr:rowOff>
    </xdr:to>
    <xdr:sp macro="" textlink="">
      <xdr:nvSpPr>
        <xdr:cNvPr id="15" name="Rectangle à coins arrondis 14">
          <a:hlinkClick xmlns:r="http://schemas.openxmlformats.org/officeDocument/2006/relationships" r:id="rId1" tooltip="Retour MENU"/>
        </xdr:cNvPr>
        <xdr:cNvSpPr/>
      </xdr:nvSpPr>
      <xdr:spPr>
        <a:xfrm>
          <a:off x="9048750" y="91387084"/>
          <a:ext cx="656167" cy="338666"/>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565</xdr:row>
      <xdr:rowOff>0</xdr:rowOff>
    </xdr:from>
    <xdr:to>
      <xdr:col>8</xdr:col>
      <xdr:colOff>1968500</xdr:colOff>
      <xdr:row>566</xdr:row>
      <xdr:rowOff>10583</xdr:rowOff>
    </xdr:to>
    <xdr:sp macro="" textlink="">
      <xdr:nvSpPr>
        <xdr:cNvPr id="16" name="Rectangle à coins arrondis 15">
          <a:hlinkClick xmlns:r="http://schemas.openxmlformats.org/officeDocument/2006/relationships" r:id="rId1" tooltip="Retour MENU"/>
        </xdr:cNvPr>
        <xdr:cNvSpPr/>
      </xdr:nvSpPr>
      <xdr:spPr>
        <a:xfrm>
          <a:off x="9048750" y="96456500"/>
          <a:ext cx="656167" cy="328083"/>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586</xdr:row>
      <xdr:rowOff>0</xdr:rowOff>
    </xdr:from>
    <xdr:to>
      <xdr:col>8</xdr:col>
      <xdr:colOff>1968500</xdr:colOff>
      <xdr:row>587</xdr:row>
      <xdr:rowOff>21167</xdr:rowOff>
    </xdr:to>
    <xdr:sp macro="" textlink="">
      <xdr:nvSpPr>
        <xdr:cNvPr id="17" name="Rectangle à coins arrondis 16">
          <a:hlinkClick xmlns:r="http://schemas.openxmlformats.org/officeDocument/2006/relationships" r:id="rId1" tooltip="Retour MENU"/>
        </xdr:cNvPr>
        <xdr:cNvSpPr/>
      </xdr:nvSpPr>
      <xdr:spPr>
        <a:xfrm>
          <a:off x="9048750" y="101600000"/>
          <a:ext cx="656167" cy="338667"/>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1322916</xdr:colOff>
      <xdr:row>606</xdr:row>
      <xdr:rowOff>10584</xdr:rowOff>
    </xdr:from>
    <xdr:to>
      <xdr:col>9</xdr:col>
      <xdr:colOff>0</xdr:colOff>
      <xdr:row>607</xdr:row>
      <xdr:rowOff>10584</xdr:rowOff>
    </xdr:to>
    <xdr:sp macro="" textlink="">
      <xdr:nvSpPr>
        <xdr:cNvPr id="18" name="Rectangle à coins arrondis 17">
          <a:hlinkClick xmlns:r="http://schemas.openxmlformats.org/officeDocument/2006/relationships" r:id="rId1" tooltip="Retour MENU"/>
        </xdr:cNvPr>
        <xdr:cNvSpPr/>
      </xdr:nvSpPr>
      <xdr:spPr>
        <a:xfrm>
          <a:off x="9059333" y="106542417"/>
          <a:ext cx="656167" cy="3175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646</xdr:row>
      <xdr:rowOff>10583</xdr:rowOff>
    </xdr:from>
    <xdr:to>
      <xdr:col>9</xdr:col>
      <xdr:colOff>0</xdr:colOff>
      <xdr:row>647</xdr:row>
      <xdr:rowOff>0</xdr:rowOff>
    </xdr:to>
    <xdr:sp macro="" textlink="">
      <xdr:nvSpPr>
        <xdr:cNvPr id="19" name="Rectangle à coins arrondis 18">
          <a:hlinkClick xmlns:r="http://schemas.openxmlformats.org/officeDocument/2006/relationships" r:id="rId1" tooltip="Retour MENU"/>
        </xdr:cNvPr>
        <xdr:cNvSpPr/>
      </xdr:nvSpPr>
      <xdr:spPr>
        <a:xfrm>
          <a:off x="9059334" y="115432416"/>
          <a:ext cx="656167" cy="306917"/>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302</xdr:row>
      <xdr:rowOff>10583</xdr:rowOff>
    </xdr:from>
    <xdr:to>
      <xdr:col>9</xdr:col>
      <xdr:colOff>0</xdr:colOff>
      <xdr:row>303</xdr:row>
      <xdr:rowOff>10584</xdr:rowOff>
    </xdr:to>
    <xdr:sp macro="" textlink="">
      <xdr:nvSpPr>
        <xdr:cNvPr id="21" name="Rectangle à coins arrondis 20">
          <a:hlinkClick xmlns:r="http://schemas.openxmlformats.org/officeDocument/2006/relationships" r:id="rId1" tooltip="Retour MENU"/>
        </xdr:cNvPr>
        <xdr:cNvSpPr/>
      </xdr:nvSpPr>
      <xdr:spPr>
        <a:xfrm>
          <a:off x="8669073" y="59089396"/>
          <a:ext cx="653522" cy="309563"/>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1330779</xdr:colOff>
      <xdr:row>37</xdr:row>
      <xdr:rowOff>14286</xdr:rowOff>
    </xdr:from>
    <xdr:to>
      <xdr:col>8</xdr:col>
      <xdr:colOff>1986002</xdr:colOff>
      <xdr:row>38</xdr:row>
      <xdr:rowOff>134295</xdr:rowOff>
    </xdr:to>
    <xdr:sp macro="" textlink="">
      <xdr:nvSpPr>
        <xdr:cNvPr id="22" name="Rectangle à coins arrondis 21">
          <a:hlinkClick xmlns:r="http://schemas.openxmlformats.org/officeDocument/2006/relationships" r:id="rId1" tooltip="Retour MENU"/>
        </xdr:cNvPr>
        <xdr:cNvSpPr/>
      </xdr:nvSpPr>
      <xdr:spPr>
        <a:xfrm>
          <a:off x="8678636" y="7362143"/>
          <a:ext cx="655223" cy="337723"/>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1326696</xdr:colOff>
      <xdr:row>60</xdr:row>
      <xdr:rowOff>25173</xdr:rowOff>
    </xdr:from>
    <xdr:to>
      <xdr:col>8</xdr:col>
      <xdr:colOff>1981919</xdr:colOff>
      <xdr:row>61</xdr:row>
      <xdr:rowOff>66939</xdr:rowOff>
    </xdr:to>
    <xdr:sp macro="" textlink="">
      <xdr:nvSpPr>
        <xdr:cNvPr id="23" name="Rectangle à coins arrondis 22">
          <a:hlinkClick xmlns:r="http://schemas.openxmlformats.org/officeDocument/2006/relationships" r:id="rId1" tooltip="Retour MENU"/>
        </xdr:cNvPr>
        <xdr:cNvSpPr/>
      </xdr:nvSpPr>
      <xdr:spPr>
        <a:xfrm>
          <a:off x="8674553" y="11999459"/>
          <a:ext cx="655223" cy="35473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1330778</xdr:colOff>
      <xdr:row>84</xdr:row>
      <xdr:rowOff>13607</xdr:rowOff>
    </xdr:from>
    <xdr:to>
      <xdr:col>8</xdr:col>
      <xdr:colOff>1986001</xdr:colOff>
      <xdr:row>85</xdr:row>
      <xdr:rowOff>38364</xdr:rowOff>
    </xdr:to>
    <xdr:sp macro="" textlink="">
      <xdr:nvSpPr>
        <xdr:cNvPr id="25" name="Rectangle à coins arrondis 24">
          <a:hlinkClick xmlns:r="http://schemas.openxmlformats.org/officeDocument/2006/relationships" r:id="rId1" tooltip="Retour MENU"/>
        </xdr:cNvPr>
        <xdr:cNvSpPr/>
      </xdr:nvSpPr>
      <xdr:spPr>
        <a:xfrm>
          <a:off x="8678635" y="17580428"/>
          <a:ext cx="655223" cy="337722"/>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1317171</xdr:colOff>
      <xdr:row>119</xdr:row>
      <xdr:rowOff>22451</xdr:rowOff>
    </xdr:from>
    <xdr:to>
      <xdr:col>8</xdr:col>
      <xdr:colOff>1972394</xdr:colOff>
      <xdr:row>120</xdr:row>
      <xdr:rowOff>54012</xdr:rowOff>
    </xdr:to>
    <xdr:sp macro="" textlink="">
      <xdr:nvSpPr>
        <xdr:cNvPr id="26" name="Rectangle à coins arrondis 25">
          <a:hlinkClick xmlns:r="http://schemas.openxmlformats.org/officeDocument/2006/relationships" r:id="rId1" tooltip="Retour MENU"/>
        </xdr:cNvPr>
        <xdr:cNvSpPr/>
      </xdr:nvSpPr>
      <xdr:spPr>
        <a:xfrm>
          <a:off x="8665028" y="24937130"/>
          <a:ext cx="655223" cy="344525"/>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332</xdr:row>
      <xdr:rowOff>10583</xdr:rowOff>
    </xdr:from>
    <xdr:to>
      <xdr:col>9</xdr:col>
      <xdr:colOff>0</xdr:colOff>
      <xdr:row>333</xdr:row>
      <xdr:rowOff>10584</xdr:rowOff>
    </xdr:to>
    <xdr:sp macro="" textlink="">
      <xdr:nvSpPr>
        <xdr:cNvPr id="28" name="Rectangle à coins arrondis 27">
          <a:hlinkClick xmlns:r="http://schemas.openxmlformats.org/officeDocument/2006/relationships" r:id="rId1" tooltip="Retour MENU"/>
        </xdr:cNvPr>
        <xdr:cNvSpPr/>
      </xdr:nvSpPr>
      <xdr:spPr>
        <a:xfrm>
          <a:off x="8670774" y="62344904"/>
          <a:ext cx="663726" cy="217716"/>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1322917</xdr:colOff>
      <xdr:row>357</xdr:row>
      <xdr:rowOff>10583</xdr:rowOff>
    </xdr:from>
    <xdr:to>
      <xdr:col>9</xdr:col>
      <xdr:colOff>0</xdr:colOff>
      <xdr:row>358</xdr:row>
      <xdr:rowOff>10584</xdr:rowOff>
    </xdr:to>
    <xdr:sp macro="" textlink="">
      <xdr:nvSpPr>
        <xdr:cNvPr id="29" name="Rectangle à coins arrondis 28">
          <a:hlinkClick xmlns:r="http://schemas.openxmlformats.org/officeDocument/2006/relationships" r:id="rId1" tooltip="Retour MENU"/>
        </xdr:cNvPr>
        <xdr:cNvSpPr/>
      </xdr:nvSpPr>
      <xdr:spPr>
        <a:xfrm>
          <a:off x="8670774" y="67515619"/>
          <a:ext cx="663726" cy="204108"/>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1312333</xdr:colOff>
      <xdr:row>383</xdr:row>
      <xdr:rowOff>0</xdr:rowOff>
    </xdr:from>
    <xdr:to>
      <xdr:col>8</xdr:col>
      <xdr:colOff>1968500</xdr:colOff>
      <xdr:row>384</xdr:row>
      <xdr:rowOff>10584</xdr:rowOff>
    </xdr:to>
    <xdr:sp macro="" textlink="">
      <xdr:nvSpPr>
        <xdr:cNvPr id="30" name="Rectangle à coins arrondis 29">
          <a:hlinkClick xmlns:r="http://schemas.openxmlformats.org/officeDocument/2006/relationships" r:id="rId1" tooltip="Retour MENU"/>
        </xdr:cNvPr>
        <xdr:cNvSpPr/>
      </xdr:nvSpPr>
      <xdr:spPr>
        <a:xfrm>
          <a:off x="8667750" y="79787750"/>
          <a:ext cx="656167" cy="328084"/>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1309687</xdr:colOff>
      <xdr:row>215</xdr:row>
      <xdr:rowOff>11906</xdr:rowOff>
    </xdr:from>
    <xdr:to>
      <xdr:col>8</xdr:col>
      <xdr:colOff>1963208</xdr:colOff>
      <xdr:row>216</xdr:row>
      <xdr:rowOff>168010</xdr:rowOff>
    </xdr:to>
    <xdr:sp macro="" textlink="">
      <xdr:nvSpPr>
        <xdr:cNvPr id="31" name="Rectangle à coins arrondis 30">
          <a:hlinkClick xmlns:r="http://schemas.openxmlformats.org/officeDocument/2006/relationships" r:id="rId1" tooltip="Retour MENU"/>
        </xdr:cNvPr>
        <xdr:cNvSpPr/>
      </xdr:nvSpPr>
      <xdr:spPr>
        <a:xfrm>
          <a:off x="8655843" y="46184344"/>
          <a:ext cx="653521" cy="370416"/>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8</xdr:col>
      <xdr:colOff>1322916</xdr:colOff>
      <xdr:row>677</xdr:row>
      <xdr:rowOff>10584</xdr:rowOff>
    </xdr:from>
    <xdr:to>
      <xdr:col>9</xdr:col>
      <xdr:colOff>0</xdr:colOff>
      <xdr:row>678</xdr:row>
      <xdr:rowOff>10584</xdr:rowOff>
    </xdr:to>
    <xdr:sp macro="" textlink="">
      <xdr:nvSpPr>
        <xdr:cNvPr id="27" name="Rectangle à coins arrondis 26">
          <a:hlinkClick xmlns:r="http://schemas.openxmlformats.org/officeDocument/2006/relationships" r:id="rId1" tooltip="Retour MENU"/>
        </xdr:cNvPr>
        <xdr:cNvSpPr/>
      </xdr:nvSpPr>
      <xdr:spPr>
        <a:xfrm>
          <a:off x="8678333" y="126989417"/>
          <a:ext cx="656167" cy="31750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74084</xdr:colOff>
      <xdr:row>0</xdr:row>
      <xdr:rowOff>201084</xdr:rowOff>
    </xdr:from>
    <xdr:to>
      <xdr:col>0</xdr:col>
      <xdr:colOff>730251</xdr:colOff>
      <xdr:row>1</xdr:row>
      <xdr:rowOff>328084</xdr:rowOff>
    </xdr:to>
    <xdr:sp macro="" textlink="">
      <xdr:nvSpPr>
        <xdr:cNvPr id="2" name="Rectangle à coins arrondis 1">
          <a:hlinkClick xmlns:r="http://schemas.openxmlformats.org/officeDocument/2006/relationships" r:id="rId1" tooltip="Retour MENU"/>
        </xdr:cNvPr>
        <xdr:cNvSpPr/>
      </xdr:nvSpPr>
      <xdr:spPr>
        <a:xfrm>
          <a:off x="74084" y="201084"/>
          <a:ext cx="656167" cy="349250"/>
        </a:xfrm>
        <a:prstGeom prst="roundRect">
          <a:avLst/>
        </a:prstGeom>
        <a:solidFill>
          <a:srgbClr val="005577"/>
        </a:solidFill>
        <a:ln>
          <a:solidFill>
            <a:srgbClr val="005577"/>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fr-FR" sz="1200" b="1">
              <a:solidFill>
                <a:schemeClr val="lt1"/>
              </a:solidFill>
              <a:latin typeface="Century Gothic" pitchFamily="34" charset="0"/>
            </a:rPr>
            <a:t>MENU</a:t>
          </a:r>
          <a:endParaRPr lang="fr-FR" sz="1200" b="1">
            <a:solidFill>
              <a:sysClr val="windowText" lastClr="000000"/>
            </a:solidFill>
            <a:latin typeface="Century Gothic" pitchFamily="34" charset="0"/>
          </a:endParaRPr>
        </a:p>
      </xdr:txBody>
    </xdr:sp>
    <xdr:clientData/>
  </xdr:twoCellAnchor>
  <xdr:twoCellAnchor>
    <xdr:from>
      <xdr:col>10</xdr:col>
      <xdr:colOff>511969</xdr:colOff>
      <xdr:row>1</xdr:row>
      <xdr:rowOff>105833</xdr:rowOff>
    </xdr:from>
    <xdr:to>
      <xdr:col>16</xdr:col>
      <xdr:colOff>179918</xdr:colOff>
      <xdr:row>3</xdr:row>
      <xdr:rowOff>169333</xdr:rowOff>
    </xdr:to>
    <xdr:sp macro="" textlink="">
      <xdr:nvSpPr>
        <xdr:cNvPr id="3" name="Rectangle à coins arrondis 2">
          <a:hlinkClick xmlns:r="http://schemas.openxmlformats.org/officeDocument/2006/relationships" r:id="rId2" tooltip="Compléter les Comptes de résultat prévisionnels"/>
        </xdr:cNvPr>
        <xdr:cNvSpPr/>
      </xdr:nvSpPr>
      <xdr:spPr>
        <a:xfrm>
          <a:off x="7941469" y="328083"/>
          <a:ext cx="2059782" cy="571500"/>
        </a:xfrm>
        <a:prstGeom prst="roundRect">
          <a:avLst/>
        </a:prstGeom>
        <a:solidFill>
          <a:srgbClr val="00B9A5"/>
        </a:solidFill>
        <a:ln>
          <a:solidFill>
            <a:srgbClr val="007E7E"/>
          </a:solidFill>
        </a:ln>
      </xdr:spPr>
      <xdr:style>
        <a:lnRef idx="0">
          <a:schemeClr val="accent3"/>
        </a:lnRef>
        <a:fillRef idx="3">
          <a:schemeClr val="accent3"/>
        </a:fillRef>
        <a:effectRef idx="3">
          <a:schemeClr val="accent3"/>
        </a:effectRef>
        <a:fontRef idx="minor">
          <a:schemeClr val="lt1"/>
        </a:fontRef>
      </xdr:style>
      <xdr:txBody>
        <a:bodyPr vertOverflow="clip" rtlCol="0" anchor="ctr"/>
        <a:lstStyle/>
        <a:p>
          <a:r>
            <a:rPr lang="fr-FR" sz="1200" b="1">
              <a:solidFill>
                <a:schemeClr val="lt1"/>
              </a:solidFill>
              <a:latin typeface="+mn-lt"/>
              <a:ea typeface="+mn-ea"/>
              <a:cs typeface="+mn-cs"/>
            </a:rPr>
            <a:t>2) </a:t>
          </a:r>
          <a:r>
            <a:rPr lang="fr-FR" sz="1200">
              <a:solidFill>
                <a:schemeClr val="lt1"/>
              </a:solidFill>
              <a:latin typeface="+mn-lt"/>
              <a:ea typeface="+mn-ea"/>
              <a:cs typeface="+mn-cs"/>
            </a:rPr>
            <a:t>Compléter</a:t>
          </a:r>
          <a:r>
            <a:rPr lang="fr-FR" sz="1200" baseline="0">
              <a:solidFill>
                <a:schemeClr val="lt1"/>
              </a:solidFill>
              <a:latin typeface="+mn-lt"/>
              <a:ea typeface="+mn-ea"/>
              <a:cs typeface="+mn-cs"/>
            </a:rPr>
            <a:t> le </a:t>
          </a:r>
          <a:r>
            <a:rPr lang="fr-FR" sz="1200" b="1" baseline="0">
              <a:solidFill>
                <a:sysClr val="windowText" lastClr="000000"/>
              </a:solidFill>
              <a:latin typeface="+mn-lt"/>
              <a:ea typeface="+mn-ea"/>
              <a:cs typeface="+mn-cs"/>
            </a:rPr>
            <a:t>Plan Pluriannuel de Financement</a:t>
          </a:r>
          <a:endParaRPr lang="fr-FR" sz="1200" b="1">
            <a:solidFill>
              <a:sysClr val="windowText" lastClr="000000"/>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files1\MARS\07_EPRD%20m&#233;dico-social\Cadre%20et%20contenu%20EPRD\CadresEPRD_officiels_corrig&#233;s\annexe7a_r.314-225casf_ria_compl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files1\MARS\Users\MARS2\Downloads\teleca_2013_ehpad_2014-03-24_11-47-5_5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s"/>
      <sheetName val="Liste"/>
      <sheetName val="Page de garde"/>
      <sheetName val="Sommaire"/>
      <sheetName val="CRPP NON SOUMIS EQUIL"/>
      <sheetName val="CRPP SOUMIS EQUILIBRE"/>
      <sheetName val="Conso"/>
      <sheetName val="Synthèse_CRP"/>
      <sheetName val="Synthèse résultats"/>
      <sheetName val="EPRD synthétique"/>
      <sheetName val="CAF_détaillée"/>
      <sheetName val="TFP"/>
      <sheetName val="CRP_PGFP"/>
      <sheetName val="PGFP"/>
      <sheetName val="FDR"/>
      <sheetName val="Tableau Rcc"/>
    </sheetNames>
    <sheetDataSet>
      <sheetData sheetId="0"/>
      <sheetData sheetId="1">
        <row r="3">
          <cell r="B3" t="str">
            <v>Oui</v>
          </cell>
          <cell r="C3" t="str">
            <v>AJA</v>
          </cell>
          <cell r="D3" t="str">
            <v>Janvier</v>
          </cell>
        </row>
        <row r="4">
          <cell r="B4" t="str">
            <v>Non</v>
          </cell>
          <cell r="C4" t="str">
            <v>BAPU</v>
          </cell>
          <cell r="D4" t="str">
            <v>Février</v>
          </cell>
        </row>
        <row r="5">
          <cell r="C5" t="str">
            <v>CAFS</v>
          </cell>
          <cell r="D5" t="str">
            <v>Mars</v>
          </cell>
        </row>
        <row r="6">
          <cell r="C6" t="str">
            <v>CAMSP</v>
          </cell>
          <cell r="D6" t="str">
            <v>Avril</v>
          </cell>
        </row>
        <row r="7">
          <cell r="C7" t="str">
            <v>CMPP</v>
          </cell>
          <cell r="D7" t="str">
            <v>Mai</v>
          </cell>
        </row>
        <row r="8">
          <cell r="C8" t="str">
            <v>CPO</v>
          </cell>
          <cell r="D8" t="str">
            <v>Juin</v>
          </cell>
        </row>
        <row r="9">
          <cell r="C9" t="str">
            <v>CR</v>
          </cell>
          <cell r="D9" t="str">
            <v>Juillet</v>
          </cell>
        </row>
        <row r="10">
          <cell r="C10" t="str">
            <v>CRP</v>
          </cell>
          <cell r="D10" t="str">
            <v>Août</v>
          </cell>
        </row>
        <row r="11">
          <cell r="C11" t="str">
            <v>EATAH</v>
          </cell>
          <cell r="D11" t="str">
            <v>Septembre</v>
          </cell>
        </row>
        <row r="12">
          <cell r="C12" t="str">
            <v>EATEH</v>
          </cell>
          <cell r="D12" t="str">
            <v>Octobre</v>
          </cell>
        </row>
        <row r="13">
          <cell r="C13" t="str">
            <v>EEAH</v>
          </cell>
          <cell r="D13" t="str">
            <v>Novembre</v>
          </cell>
        </row>
        <row r="14">
          <cell r="C14" t="str">
            <v>EEAP</v>
          </cell>
          <cell r="D14" t="str">
            <v>Décembre</v>
          </cell>
        </row>
        <row r="15">
          <cell r="C15" t="str">
            <v>EEEH</v>
          </cell>
        </row>
        <row r="16">
          <cell r="C16" t="str">
            <v>EEPA</v>
          </cell>
        </row>
        <row r="17">
          <cell r="C17" t="str">
            <v>EHPA perc crédit AM</v>
          </cell>
        </row>
        <row r="18">
          <cell r="C18" t="str">
            <v>EHPAD</v>
          </cell>
        </row>
        <row r="19">
          <cell r="C19" t="str">
            <v>ESAT</v>
          </cell>
        </row>
        <row r="20">
          <cell r="C20" t="str">
            <v>FAM</v>
          </cell>
        </row>
        <row r="21">
          <cell r="C21" t="str">
            <v>FOYPH</v>
          </cell>
        </row>
        <row r="22">
          <cell r="C22" t="str">
            <v>IDA</v>
          </cell>
        </row>
        <row r="23">
          <cell r="C23" t="str">
            <v>IDV</v>
          </cell>
        </row>
        <row r="24">
          <cell r="C24" t="str">
            <v>IEM</v>
          </cell>
        </row>
        <row r="25">
          <cell r="C25" t="str">
            <v>IESPESA</v>
          </cell>
        </row>
        <row r="26">
          <cell r="C26" t="str">
            <v>IME</v>
          </cell>
        </row>
        <row r="27">
          <cell r="C27" t="str">
            <v>ITEP</v>
          </cell>
        </row>
        <row r="28">
          <cell r="C28" t="str">
            <v>JES</v>
          </cell>
        </row>
        <row r="29">
          <cell r="C29" t="str">
            <v>Logement Foyer</v>
          </cell>
        </row>
        <row r="30">
          <cell r="C30" t="str">
            <v>MAS</v>
          </cell>
        </row>
        <row r="31">
          <cell r="C31" t="str">
            <v>SAMSAH</v>
          </cell>
        </row>
        <row r="32">
          <cell r="C32" t="str">
            <v>SESSAD</v>
          </cell>
        </row>
        <row r="33">
          <cell r="C33" t="str">
            <v>SPASAD</v>
          </cell>
        </row>
        <row r="34">
          <cell r="C34" t="str">
            <v>SSIAD</v>
          </cell>
        </row>
        <row r="35">
          <cell r="C35" t="str">
            <v>UEROS</v>
          </cell>
        </row>
        <row r="36">
          <cell r="C36" t="str">
            <v>AUTRE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nt"/>
      <sheetName val="IMPORT_CG"/>
      <sheetName val="TELECA EHPAD"/>
      <sheetName val="données"/>
      <sheetName val="activités"/>
      <sheetName val="creton"/>
      <sheetName val="récap"/>
      <sheetName val="plan fi"/>
      <sheetName val="si global p6"/>
      <sheetName val="si global p7"/>
      <sheetName val="si p8"/>
      <sheetName val="si p9"/>
      <sheetName val="si p 10"/>
      <sheetName val="si p11"/>
      <sheetName val="si p 12"/>
      <sheetName val="si p13"/>
      <sheetName val="si p14"/>
      <sheetName val="sip15"/>
      <sheetName val="si p 16"/>
      <sheetName val="tab amort"/>
      <sheetName val="emprunts"/>
      <sheetName val="provisions"/>
      <sheetName val="SE  G1"/>
      <sheetName val="SE G2"/>
      <sheetName val="SE G 3"/>
      <sheetName val="SE g3 fin"/>
      <sheetName val="SE produits"/>
      <sheetName val="SEproduits"/>
      <sheetName val="exploitation héb"/>
      <sheetName val="exploitation dép"/>
      <sheetName val="exploitation soins"/>
      <sheetName val="répartition charges"/>
      <sheetName val="autres rémunérations"/>
      <sheetName val="effectifs "/>
      <sheetName val="rémunération"/>
      <sheetName val="nbre points"/>
      <sheetName val="euros"/>
      <sheetName val="gvt"/>
      <sheetName val="indicateurs personnel"/>
      <sheetName val="affectation résultat"/>
      <sheetName val="synthèse BE"/>
      <sheetName val="synthèse CA"/>
      <sheetName val="Actif"/>
      <sheetName val="Passif"/>
      <sheetName val="Bilan financier"/>
      <sheetName val="Comptes de liaison"/>
      <sheetName val="Activité EHPAD"/>
      <sheetName val="Activité EHPAD 2"/>
      <sheetName val="Personnel EHPAD"/>
      <sheetName val="Personnel extérieur EHPAD"/>
      <sheetName val="affectation résultat Héb"/>
      <sheetName val="affectation résultat Dép"/>
      <sheetName val="affectation résultat Soins"/>
      <sheetName val="Commentaires"/>
    </sheetNames>
    <sheetDataSet>
      <sheetData sheetId="0"/>
      <sheetData sheetId="1"/>
      <sheetData sheetId="2">
        <row r="45">
          <cell r="B45">
            <v>2013</v>
          </cell>
        </row>
      </sheetData>
      <sheetData sheetId="3">
        <row r="7">
          <cell r="E7" t="str">
            <v xml:space="preserve">  </v>
          </cell>
          <cell r="G7" t="str">
            <v xml:space="preserve"> </v>
          </cell>
        </row>
        <row r="15">
          <cell r="E15" t="str">
            <v xml:space="preserve"> </v>
          </cell>
        </row>
        <row r="21">
          <cell r="L21">
            <v>0</v>
          </cell>
        </row>
        <row r="23">
          <cell r="L23">
            <v>0</v>
          </cell>
        </row>
        <row r="25">
          <cell r="L25">
            <v>0</v>
          </cell>
        </row>
        <row r="31">
          <cell r="E31">
            <v>0</v>
          </cell>
        </row>
      </sheetData>
      <sheetData sheetId="4">
        <row r="8">
          <cell r="H8">
            <v>0</v>
          </cell>
        </row>
        <row r="9">
          <cell r="H9">
            <v>0</v>
          </cell>
        </row>
        <row r="10">
          <cell r="H10">
            <v>0</v>
          </cell>
        </row>
        <row r="11">
          <cell r="H11">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6">
          <cell r="G36">
            <v>0</v>
          </cell>
          <cell r="H36">
            <v>0</v>
          </cell>
          <cell r="J36">
            <v>0</v>
          </cell>
          <cell r="K36">
            <v>0</v>
          </cell>
        </row>
      </sheetData>
      <sheetData sheetId="23">
        <row r="20">
          <cell r="F20">
            <v>0</v>
          </cell>
          <cell r="G20">
            <v>0</v>
          </cell>
          <cell r="I20">
            <v>0</v>
          </cell>
          <cell r="J20">
            <v>0</v>
          </cell>
        </row>
      </sheetData>
      <sheetData sheetId="24"/>
      <sheetData sheetId="25">
        <row r="12">
          <cell r="K12">
            <v>0</v>
          </cell>
        </row>
        <row r="15">
          <cell r="K15">
            <v>0</v>
          </cell>
        </row>
        <row r="16">
          <cell r="K16">
            <v>0</v>
          </cell>
        </row>
        <row r="21">
          <cell r="K21">
            <v>0</v>
          </cell>
        </row>
        <row r="22">
          <cell r="K22">
            <v>0</v>
          </cell>
        </row>
        <row r="23">
          <cell r="K23">
            <v>0</v>
          </cell>
        </row>
        <row r="26">
          <cell r="K26">
            <v>0</v>
          </cell>
        </row>
        <row r="33">
          <cell r="G33">
            <v>0</v>
          </cell>
          <cell r="H33">
            <v>0</v>
          </cell>
          <cell r="J33">
            <v>0</v>
          </cell>
          <cell r="K33">
            <v>0</v>
          </cell>
        </row>
      </sheetData>
      <sheetData sheetId="26">
        <row r="15">
          <cell r="F15">
            <v>0</v>
          </cell>
          <cell r="G15">
            <v>0</v>
          </cell>
          <cell r="I15">
            <v>0</v>
          </cell>
        </row>
        <row r="21">
          <cell r="F21">
            <v>0</v>
          </cell>
          <cell r="G21">
            <v>0</v>
          </cell>
          <cell r="I21">
            <v>0</v>
          </cell>
        </row>
        <row r="38">
          <cell r="F38">
            <v>0</v>
          </cell>
          <cell r="G38">
            <v>0</v>
          </cell>
          <cell r="I38">
            <v>0</v>
          </cell>
        </row>
      </sheetData>
      <sheetData sheetId="27">
        <row r="27">
          <cell r="F27">
            <v>0</v>
          </cell>
          <cell r="G27">
            <v>0</v>
          </cell>
          <cell r="I27">
            <v>0</v>
          </cell>
        </row>
      </sheetData>
      <sheetData sheetId="28"/>
      <sheetData sheetId="29"/>
      <sheetData sheetId="30"/>
      <sheetData sheetId="31"/>
      <sheetData sheetId="32"/>
      <sheetData sheetId="33"/>
      <sheetData sheetId="34"/>
      <sheetData sheetId="35"/>
      <sheetData sheetId="36">
        <row r="32">
          <cell r="J32">
            <v>0</v>
          </cell>
          <cell r="K32">
            <v>0</v>
          </cell>
        </row>
      </sheetData>
      <sheetData sheetId="37"/>
      <sheetData sheetId="38">
        <row r="6">
          <cell r="H6">
            <v>0</v>
          </cell>
          <cell r="I6">
            <v>0</v>
          </cell>
          <cell r="K6">
            <v>0</v>
          </cell>
        </row>
        <row r="13">
          <cell r="H13">
            <v>0</v>
          </cell>
          <cell r="I13">
            <v>0</v>
          </cell>
          <cell r="K13">
            <v>0</v>
          </cell>
        </row>
        <row r="16">
          <cell r="H16">
            <v>0</v>
          </cell>
          <cell r="I16">
            <v>0</v>
          </cell>
          <cell r="K16">
            <v>0</v>
          </cell>
        </row>
      </sheetData>
      <sheetData sheetId="39"/>
      <sheetData sheetId="40"/>
      <sheetData sheetId="41"/>
      <sheetData sheetId="42">
        <row r="6">
          <cell r="D6">
            <v>0</v>
          </cell>
        </row>
      </sheetData>
      <sheetData sheetId="43">
        <row r="5">
          <cell r="B5">
            <v>0</v>
          </cell>
        </row>
      </sheetData>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000" b="1" baseline="0">
            <a:latin typeface="Century Gothic" pitchFamily="34" charset="0"/>
          </a:defRPr>
        </a:defPPr>
      </a:lstStyle>
      <a:style>
        <a:lnRef idx="0">
          <a:schemeClr val="accent3"/>
        </a:lnRef>
        <a:fillRef idx="3">
          <a:schemeClr val="accent3"/>
        </a:fillRef>
        <a:effectRef idx="3">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63"/>
  <sheetViews>
    <sheetView topLeftCell="A13" zoomScale="80" zoomScaleNormal="80" workbookViewId="0">
      <selection activeCell="D15" sqref="D15"/>
    </sheetView>
  </sheetViews>
  <sheetFormatPr baseColWidth="10" defaultRowHeight="15"/>
  <cols>
    <col min="1" max="1" width="14.5703125" style="2" bestFit="1" customWidth="1"/>
    <col min="2" max="2" width="11.42578125" style="2" bestFit="1" customWidth="1"/>
    <col min="3" max="3" width="33.85546875" style="2" bestFit="1" customWidth="1"/>
    <col min="4" max="4" width="104.28515625" style="2" bestFit="1" customWidth="1"/>
    <col min="5" max="5" width="41.140625" style="2" customWidth="1"/>
    <col min="6" max="6" width="60.28515625" style="2" customWidth="1"/>
    <col min="7" max="16384" width="11.42578125" style="2"/>
  </cols>
  <sheetData>
    <row r="1" spans="1:6" s="69" customFormat="1" ht="33.75" customHeight="1">
      <c r="A1" s="68" t="s">
        <v>1</v>
      </c>
      <c r="B1" s="68" t="s">
        <v>14</v>
      </c>
      <c r="C1" s="68" t="s">
        <v>0</v>
      </c>
      <c r="D1" s="68" t="s">
        <v>2</v>
      </c>
      <c r="E1" s="68" t="s">
        <v>20</v>
      </c>
      <c r="F1" s="68" t="s">
        <v>16</v>
      </c>
    </row>
    <row r="2" spans="1:6" ht="30" customHeight="1">
      <c r="A2" s="1364" t="s">
        <v>163</v>
      </c>
      <c r="B2" s="46"/>
      <c r="C2" s="51" t="s">
        <v>63</v>
      </c>
      <c r="D2" s="50" t="s">
        <v>67</v>
      </c>
      <c r="E2" s="3"/>
      <c r="F2" s="45"/>
    </row>
    <row r="3" spans="1:6" ht="36.75" customHeight="1">
      <c r="A3" s="1364"/>
      <c r="B3" s="47"/>
      <c r="C3" s="51" t="s">
        <v>64</v>
      </c>
      <c r="D3" s="50" t="s">
        <v>68</v>
      </c>
      <c r="E3" s="3"/>
      <c r="F3" s="45"/>
    </row>
    <row r="4" spans="1:6" ht="37.5" customHeight="1">
      <c r="A4" s="1364"/>
      <c r="B4" s="47"/>
      <c r="C4" s="51" t="s">
        <v>65</v>
      </c>
      <c r="D4" s="50" t="s">
        <v>69</v>
      </c>
      <c r="E4" s="3"/>
      <c r="F4" s="45"/>
    </row>
    <row r="5" spans="1:6" ht="43.5" customHeight="1">
      <c r="A5" s="1364"/>
      <c r="B5" s="47"/>
      <c r="C5" s="51" t="s">
        <v>66</v>
      </c>
      <c r="D5" s="52" t="s">
        <v>327</v>
      </c>
      <c r="E5" s="3"/>
      <c r="F5" s="45"/>
    </row>
    <row r="6" spans="1:6" ht="43.5" customHeight="1">
      <c r="A6" s="1364"/>
      <c r="B6" s="53" t="s">
        <v>71</v>
      </c>
      <c r="C6" s="51" t="s">
        <v>70</v>
      </c>
      <c r="D6" s="52"/>
      <c r="E6" s="3"/>
      <c r="F6" s="45"/>
    </row>
    <row r="7" spans="1:6" ht="15" customHeight="1">
      <c r="A7" s="1364"/>
      <c r="B7" s="48" t="s">
        <v>15</v>
      </c>
      <c r="C7" s="33" t="s">
        <v>6</v>
      </c>
      <c r="D7" s="20"/>
      <c r="E7" s="20"/>
      <c r="F7" s="4"/>
    </row>
    <row r="8" spans="1:6" ht="15" customHeight="1">
      <c r="A8" s="1364"/>
      <c r="B8" s="48" t="s">
        <v>15</v>
      </c>
      <c r="C8" s="33" t="s">
        <v>8</v>
      </c>
      <c r="D8" s="20"/>
      <c r="E8" s="21"/>
      <c r="F8" s="1"/>
    </row>
    <row r="9" spans="1:6" ht="15" customHeight="1">
      <c r="A9" s="1364"/>
      <c r="B9" s="48" t="s">
        <v>15</v>
      </c>
      <c r="C9" s="33" t="s">
        <v>3</v>
      </c>
      <c r="D9" s="20"/>
      <c r="E9" s="21"/>
      <c r="F9" s="1"/>
    </row>
    <row r="10" spans="1:6" ht="15" customHeight="1">
      <c r="A10" s="1364"/>
      <c r="B10" s="48" t="s">
        <v>15</v>
      </c>
      <c r="C10" s="33" t="s">
        <v>4</v>
      </c>
      <c r="D10" s="20"/>
      <c r="E10" s="21"/>
      <c r="F10" s="1"/>
    </row>
    <row r="11" spans="1:6" ht="15" customHeight="1">
      <c r="A11" s="1364"/>
      <c r="B11" s="48" t="s">
        <v>15</v>
      </c>
      <c r="C11" s="33" t="s">
        <v>5</v>
      </c>
      <c r="D11" s="20"/>
      <c r="E11" s="21"/>
      <c r="F11" s="1"/>
    </row>
    <row r="12" spans="1:6" ht="270.75" customHeight="1" thickBot="1">
      <c r="A12" s="1365"/>
      <c r="B12" s="49" t="s">
        <v>15</v>
      </c>
      <c r="C12" s="34" t="s">
        <v>7</v>
      </c>
      <c r="D12" s="64" t="s">
        <v>165</v>
      </c>
      <c r="E12" s="71" t="s">
        <v>166</v>
      </c>
      <c r="F12" s="70" t="s">
        <v>167</v>
      </c>
    </row>
    <row r="13" spans="1:6" ht="238.5" customHeight="1">
      <c r="A13" s="1362" t="s">
        <v>17</v>
      </c>
      <c r="B13" s="23" t="s">
        <v>15</v>
      </c>
      <c r="C13" s="72" t="s">
        <v>22</v>
      </c>
      <c r="D13" s="11" t="s">
        <v>164</v>
      </c>
      <c r="E13" s="13" t="s">
        <v>24</v>
      </c>
      <c r="F13" s="14" t="s">
        <v>21</v>
      </c>
    </row>
    <row r="14" spans="1:6" ht="41.25" customHeight="1">
      <c r="A14" s="1363"/>
      <c r="B14" s="24" t="s">
        <v>15</v>
      </c>
      <c r="C14" s="73" t="s">
        <v>11</v>
      </c>
      <c r="D14" s="22" t="s">
        <v>23</v>
      </c>
      <c r="E14" s="15"/>
      <c r="F14" s="1"/>
    </row>
    <row r="15" spans="1:6" ht="38.25">
      <c r="A15" s="1363"/>
      <c r="B15" s="24" t="s">
        <v>15</v>
      </c>
      <c r="C15" s="73" t="s">
        <v>12</v>
      </c>
      <c r="D15" s="55" t="s">
        <v>162</v>
      </c>
      <c r="E15" s="57" t="s">
        <v>161</v>
      </c>
      <c r="F15" s="56" t="s">
        <v>160</v>
      </c>
    </row>
    <row r="16" spans="1:6" ht="15" customHeight="1">
      <c r="A16" s="1363"/>
      <c r="B16" s="24" t="s">
        <v>15</v>
      </c>
      <c r="C16" s="35" t="s">
        <v>13</v>
      </c>
      <c r="D16" s="15"/>
      <c r="E16" s="15"/>
      <c r="F16" s="1"/>
    </row>
    <row r="17" spans="1:6" ht="51">
      <c r="A17" s="1363"/>
      <c r="B17" s="24" t="s">
        <v>15</v>
      </c>
      <c r="C17" s="73" t="s">
        <v>29</v>
      </c>
      <c r="D17" s="42" t="s">
        <v>35</v>
      </c>
      <c r="E17" s="16"/>
      <c r="F17" s="40" t="s">
        <v>31</v>
      </c>
    </row>
    <row r="18" spans="1:6" ht="51">
      <c r="A18" s="1363"/>
      <c r="B18" s="24" t="s">
        <v>15</v>
      </c>
      <c r="C18" s="73" t="s">
        <v>30</v>
      </c>
      <c r="D18" s="15"/>
      <c r="E18" s="16"/>
      <c r="F18" s="40" t="s">
        <v>32</v>
      </c>
    </row>
    <row r="19" spans="1:6" ht="114.75">
      <c r="A19" s="1363"/>
      <c r="B19" s="24" t="s">
        <v>15</v>
      </c>
      <c r="C19" s="73" t="s">
        <v>25</v>
      </c>
      <c r="D19" s="15"/>
      <c r="E19" s="16"/>
      <c r="F19" s="40" t="s">
        <v>34</v>
      </c>
    </row>
    <row r="20" spans="1:6" ht="15" customHeight="1">
      <c r="A20" s="1363"/>
      <c r="B20" s="24" t="s">
        <v>15</v>
      </c>
      <c r="C20" s="35" t="s">
        <v>27</v>
      </c>
      <c r="D20" s="15"/>
      <c r="E20" s="16"/>
      <c r="F20" s="41" t="s">
        <v>26</v>
      </c>
    </row>
    <row r="21" spans="1:6" ht="38.25">
      <c r="A21" s="1363"/>
      <c r="B21" s="25" t="s">
        <v>15</v>
      </c>
      <c r="C21" s="72" t="s">
        <v>48</v>
      </c>
      <c r="D21" s="26"/>
      <c r="E21" s="5"/>
      <c r="F21" s="59" t="s">
        <v>33</v>
      </c>
    </row>
    <row r="22" spans="1:6" ht="15.75" thickBot="1">
      <c r="A22" s="54"/>
      <c r="B22" s="58"/>
      <c r="C22" s="60"/>
      <c r="D22" s="61"/>
      <c r="E22" s="62"/>
      <c r="F22" s="63"/>
    </row>
    <row r="23" spans="1:6" ht="15" customHeight="1" thickBot="1">
      <c r="A23" s="27" t="s">
        <v>18</v>
      </c>
      <c r="B23" s="28"/>
      <c r="C23" s="36"/>
      <c r="D23" s="29"/>
      <c r="E23" s="10"/>
      <c r="F23" s="36"/>
    </row>
    <row r="24" spans="1:6" ht="51">
      <c r="A24" s="1360" t="s">
        <v>19</v>
      </c>
      <c r="B24" s="30" t="s">
        <v>15</v>
      </c>
      <c r="C24" s="74" t="s">
        <v>9</v>
      </c>
      <c r="D24" s="38" t="s">
        <v>28</v>
      </c>
      <c r="E24" s="18"/>
      <c r="F24" s="44" t="s">
        <v>43</v>
      </c>
    </row>
    <row r="25" spans="1:6" ht="15" customHeight="1" thickBot="1">
      <c r="A25" s="1361"/>
      <c r="B25" s="31" t="s">
        <v>15</v>
      </c>
      <c r="C25" s="37" t="s">
        <v>10</v>
      </c>
      <c r="D25" s="39"/>
      <c r="E25" s="19"/>
      <c r="F25" s="43"/>
    </row>
    <row r="26" spans="1:6">
      <c r="A26" s="32"/>
      <c r="B26" s="32"/>
      <c r="C26" s="17"/>
      <c r="D26" s="32"/>
    </row>
    <row r="27" spans="1:6">
      <c r="A27" s="6"/>
      <c r="B27" s="8"/>
      <c r="C27" s="7"/>
      <c r="F27" s="12"/>
    </row>
    <row r="28" spans="1:6">
      <c r="A28" s="6"/>
      <c r="B28" s="8"/>
      <c r="C28" s="7"/>
    </row>
    <row r="29" spans="1:6">
      <c r="A29" s="6"/>
      <c r="B29" s="8"/>
      <c r="C29" s="7"/>
    </row>
    <row r="30" spans="1:6">
      <c r="A30" s="6"/>
      <c r="B30" s="8"/>
      <c r="C30" s="7"/>
    </row>
    <row r="31" spans="1:6">
      <c r="C31" s="8"/>
    </row>
    <row r="32" spans="1:6">
      <c r="C32" s="9"/>
    </row>
    <row r="33" spans="3:3">
      <c r="C33" s="8"/>
    </row>
    <row r="34" spans="3:3">
      <c r="C34" s="7"/>
    </row>
    <row r="54" spans="3:4">
      <c r="D54" s="65"/>
    </row>
    <row r="59" spans="3:4">
      <c r="C59" s="67"/>
    </row>
    <row r="63" spans="3:4">
      <c r="C63" s="66"/>
    </row>
  </sheetData>
  <mergeCells count="3">
    <mergeCell ref="A24:A25"/>
    <mergeCell ref="A13:A21"/>
    <mergeCell ref="A2:A12"/>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pageSetUpPr fitToPage="1"/>
  </sheetPr>
  <dimension ref="A1:AV380"/>
  <sheetViews>
    <sheetView view="pageBreakPreview" topLeftCell="B1" zoomScaleNormal="100" zoomScaleSheetLayoutView="100" workbookViewId="0">
      <selection activeCell="M22" sqref="M22"/>
    </sheetView>
  </sheetViews>
  <sheetFormatPr baseColWidth="10" defaultRowHeight="16.5"/>
  <cols>
    <col min="1" max="1" width="45.140625" style="133" hidden="1" customWidth="1"/>
    <col min="2" max="2" width="5.7109375" style="133" customWidth="1"/>
    <col min="3" max="3" width="20" style="151" bestFit="1" customWidth="1"/>
    <col min="4" max="4" width="18.42578125" style="151" customWidth="1"/>
    <col min="5" max="5" width="13.7109375" style="151" bestFit="1" customWidth="1"/>
    <col min="6" max="6" width="3.28515625" style="151" customWidth="1"/>
    <col min="7" max="7" width="13.7109375" style="151" bestFit="1" customWidth="1"/>
    <col min="8" max="8" width="3.28515625" style="151" customWidth="1"/>
    <col min="9" max="9" width="13.7109375" style="151" bestFit="1" customWidth="1"/>
    <col min="10" max="10" width="3.28515625" style="151" customWidth="1"/>
    <col min="11" max="12" width="11.42578125" style="151"/>
    <col min="13" max="13" width="21.7109375" style="151" customWidth="1"/>
    <col min="14" max="15" width="11.42578125" style="151"/>
    <col min="16" max="16" width="11.42578125" style="133" customWidth="1"/>
    <col min="17" max="48" width="11.42578125" style="133"/>
    <col min="49" max="16384" width="11.42578125" style="151"/>
  </cols>
  <sheetData>
    <row r="1" spans="3:22">
      <c r="C1" s="133"/>
      <c r="D1" s="133"/>
      <c r="E1" s="133"/>
      <c r="F1" s="133"/>
      <c r="G1" s="133"/>
      <c r="H1" s="133"/>
      <c r="I1" s="133"/>
      <c r="J1" s="133"/>
      <c r="K1" s="133"/>
      <c r="L1" s="133"/>
      <c r="M1" s="133"/>
      <c r="N1" s="133"/>
      <c r="O1" s="133"/>
    </row>
    <row r="2" spans="3:22" ht="16.5" customHeight="1">
      <c r="C2" s="133"/>
      <c r="D2" s="2158" t="s">
        <v>409</v>
      </c>
      <c r="E2" s="2158"/>
      <c r="F2" s="2158"/>
      <c r="G2" s="2158"/>
      <c r="H2" s="2158"/>
      <c r="I2" s="2158"/>
      <c r="J2" s="2158"/>
      <c r="K2" s="2158"/>
      <c r="L2" s="207"/>
      <c r="M2" s="207"/>
      <c r="N2" s="207"/>
      <c r="O2" s="207"/>
      <c r="P2" s="207"/>
      <c r="Q2" s="207"/>
      <c r="R2" s="207"/>
      <c r="S2" s="207"/>
      <c r="T2" s="207"/>
    </row>
    <row r="3" spans="3:22" ht="16.5" customHeight="1">
      <c r="C3" s="133"/>
      <c r="D3" s="2158"/>
      <c r="E3" s="2158"/>
      <c r="F3" s="2158"/>
      <c r="G3" s="2158"/>
      <c r="H3" s="2158"/>
      <c r="I3" s="2158"/>
      <c r="J3" s="2158"/>
      <c r="K3" s="2158"/>
      <c r="L3" s="207"/>
      <c r="M3" s="207"/>
      <c r="N3" s="207"/>
      <c r="O3" s="207"/>
      <c r="P3" s="207"/>
      <c r="Q3" s="207"/>
      <c r="R3" s="207"/>
      <c r="S3" s="207"/>
      <c r="T3" s="207"/>
    </row>
    <row r="4" spans="3:22" s="133" customFormat="1">
      <c r="C4" s="121"/>
      <c r="D4" s="121"/>
      <c r="E4" s="121"/>
      <c r="F4" s="121"/>
      <c r="G4" s="121"/>
      <c r="H4" s="121"/>
      <c r="I4" s="121"/>
      <c r="J4" s="121"/>
    </row>
    <row r="5" spans="3:22" s="133" customFormat="1">
      <c r="C5" s="174"/>
      <c r="D5" s="876"/>
      <c r="E5" s="1458">
        <f>'Bilan financier'!$C$17</f>
        <v>2017</v>
      </c>
      <c r="F5" s="1459"/>
      <c r="G5" s="1458">
        <f>'Bilan financier'!$D$17</f>
        <v>2018</v>
      </c>
      <c r="H5" s="1459"/>
      <c r="I5" s="1457">
        <f>'Bilan financier'!$E$17</f>
        <v>2019</v>
      </c>
      <c r="J5" s="1457"/>
    </row>
    <row r="6" spans="3:22" s="133" customFormat="1" ht="5.0999999999999996" customHeight="1">
      <c r="C6" s="174"/>
      <c r="D6" s="876"/>
      <c r="E6" s="876"/>
      <c r="F6" s="876"/>
      <c r="G6" s="876"/>
      <c r="H6" s="876"/>
      <c r="I6" s="876"/>
      <c r="J6" s="876"/>
    </row>
    <row r="7" spans="3:22" s="133" customFormat="1" ht="24.95" customHeight="1">
      <c r="C7" s="2159" t="s">
        <v>2185</v>
      </c>
      <c r="D7" s="2160"/>
      <c r="E7" s="1552" t="str">
        <f>'Analyse rétrospective (1)'!$E$10</f>
        <v/>
      </c>
      <c r="F7" s="1553"/>
      <c r="G7" s="1554" t="str">
        <f>'Analyse rétrospective (1)'!$G$10</f>
        <v/>
      </c>
      <c r="H7" s="1553"/>
      <c r="I7" s="1554" t="str">
        <f>'Analyse rétrospective (1)'!$I$10</f>
        <v/>
      </c>
      <c r="J7" s="1555"/>
    </row>
    <row r="8" spans="3:22" s="133" customFormat="1" ht="24.95" customHeight="1">
      <c r="C8" s="2161" t="s">
        <v>629</v>
      </c>
      <c r="D8" s="2162"/>
      <c r="E8" s="1544" t="e">
        <f>'Analyse rétrospective (1)'!$E$20</f>
        <v>#VALUE!</v>
      </c>
      <c r="F8" s="1545"/>
      <c r="G8" s="1546" t="e">
        <f>'Analyse rétrospective (1)'!$G$20</f>
        <v>#VALUE!</v>
      </c>
      <c r="H8" s="1545"/>
      <c r="I8" s="1546" t="e">
        <f>'Analyse rétrospective (1)'!$I$20</f>
        <v>#VALUE!</v>
      </c>
      <c r="J8" s="1547"/>
    </row>
    <row r="9" spans="3:22" s="133" customFormat="1" ht="24.95" customHeight="1">
      <c r="C9" s="2163" t="s">
        <v>2186</v>
      </c>
      <c r="D9" s="2164"/>
      <c r="E9" s="1548" t="str">
        <f>'Analyse rétrospective (1)'!$E$30</f>
        <v/>
      </c>
      <c r="F9" s="1549"/>
      <c r="G9" s="1550" t="str">
        <f>'Analyse rétrospective (1)'!$G$30</f>
        <v/>
      </c>
      <c r="H9" s="1549"/>
      <c r="I9" s="1550" t="str">
        <f>'Analyse rétrospective (1)'!$I$30</f>
        <v/>
      </c>
      <c r="J9" s="1551"/>
    </row>
    <row r="10" spans="3:22" s="133" customFormat="1" ht="24.95" customHeight="1">
      <c r="C10" s="2165" t="s">
        <v>390</v>
      </c>
      <c r="D10" s="2166"/>
      <c r="E10" s="605" t="e">
        <f>'Analyse rétrospective (1)'!$E$40</f>
        <v>#DIV/0!</v>
      </c>
      <c r="F10" s="592" t="s">
        <v>241</v>
      </c>
      <c r="G10" s="606" t="e">
        <f>'Analyse rétrospective (1)'!$G$40</f>
        <v>#DIV/0!</v>
      </c>
      <c r="H10" s="593" t="s">
        <v>241</v>
      </c>
      <c r="I10" s="607" t="e">
        <f>'Analyse rétrospective (1)'!I40</f>
        <v>#DIV/0!</v>
      </c>
      <c r="J10" s="595" t="s">
        <v>241</v>
      </c>
    </row>
    <row r="11" spans="3:22" s="133" customFormat="1" ht="24.95" customHeight="1">
      <c r="C11" s="2163" t="s">
        <v>391</v>
      </c>
      <c r="D11" s="2164"/>
      <c r="E11" s="1558">
        <f>'Analyse rétrospective (1)'!$E$41:$F$41</f>
        <v>0</v>
      </c>
      <c r="F11" s="1557"/>
      <c r="G11" s="1556">
        <f>'Analyse rétrospective (1)'!$G$41:$H$41</f>
        <v>0</v>
      </c>
      <c r="H11" s="1557"/>
      <c r="I11" s="1556">
        <f>'Analyse rétrospective (1)'!$I$41:$J$41</f>
        <v>0</v>
      </c>
      <c r="J11" s="1559"/>
    </row>
    <row r="12" spans="3:22" s="133" customFormat="1" ht="24.95" customHeight="1">
      <c r="C12" s="2165" t="s">
        <v>392</v>
      </c>
      <c r="D12" s="2166"/>
      <c r="E12" s="605" t="e">
        <f>'Analyse rétrospective (1)'!$E$51</f>
        <v>#VALUE!</v>
      </c>
      <c r="F12" s="592" t="s">
        <v>241</v>
      </c>
      <c r="G12" s="606" t="e">
        <f>'Analyse rétrospective (1)'!$G$51</f>
        <v>#VALUE!</v>
      </c>
      <c r="H12" s="593" t="s">
        <v>241</v>
      </c>
      <c r="I12" s="607" t="e">
        <f>'Analyse rétrospective (1)'!$I$51</f>
        <v>#VALUE!</v>
      </c>
      <c r="J12" s="595" t="s">
        <v>241</v>
      </c>
    </row>
    <row r="13" spans="3:22" s="133" customFormat="1" ht="24.95" customHeight="1">
      <c r="C13" s="2163" t="s">
        <v>393</v>
      </c>
      <c r="D13" s="2164"/>
      <c r="E13" s="1558">
        <f>('Bilan financier'!$C$70-'Bilan financier'!$G$70)</f>
        <v>0</v>
      </c>
      <c r="F13" s="1557"/>
      <c r="G13" s="1556">
        <f>('Bilan financier'!$D$70-'Bilan financier'!$H$70)</f>
        <v>0</v>
      </c>
      <c r="H13" s="1557"/>
      <c r="I13" s="1556">
        <f>('Bilan financier'!$E$70-'Bilan financier'!$I$70)</f>
        <v>0</v>
      </c>
      <c r="J13" s="1559"/>
    </row>
    <row r="14" spans="3:22" s="133" customFormat="1" ht="24.95" customHeight="1">
      <c r="C14" s="2165" t="s">
        <v>394</v>
      </c>
      <c r="D14" s="2166"/>
      <c r="E14" s="608" t="e">
        <f>'Analyse rétrospective (1)'!$E$63</f>
        <v>#VALUE!</v>
      </c>
      <c r="F14" s="597" t="s">
        <v>241</v>
      </c>
      <c r="G14" s="609" t="e">
        <f>'Analyse rétrospective (1)'!$G$63</f>
        <v>#VALUE!</v>
      </c>
      <c r="H14" s="594" t="s">
        <v>241</v>
      </c>
      <c r="I14" s="610" t="e">
        <f>'Analyse rétrospective (1)'!$I$63</f>
        <v>#VALUE!</v>
      </c>
      <c r="J14" s="596" t="s">
        <v>241</v>
      </c>
    </row>
    <row r="15" spans="3:22" s="133" customFormat="1" ht="24.95" customHeight="1">
      <c r="C15" s="2163" t="s">
        <v>395</v>
      </c>
      <c r="D15" s="2164"/>
      <c r="E15" s="1558">
        <f>('Bilan financier'!$C$82-'Bilan financier'!$G$82)</f>
        <v>0</v>
      </c>
      <c r="F15" s="1557"/>
      <c r="G15" s="1556">
        <f>('Bilan financier'!$D$82-'Bilan financier'!$H$82)</f>
        <v>0</v>
      </c>
      <c r="H15" s="1557"/>
      <c r="I15" s="1556">
        <f>('Bilan financier'!$E$82-'Bilan financier'!$I$82)</f>
        <v>0</v>
      </c>
      <c r="J15" s="1559"/>
    </row>
    <row r="16" spans="3:22" s="133" customFormat="1">
      <c r="C16" s="121"/>
      <c r="D16" s="121"/>
      <c r="E16" s="121"/>
      <c r="F16" s="121"/>
      <c r="G16" s="121"/>
      <c r="H16" s="121"/>
      <c r="I16" s="121"/>
      <c r="J16" s="121"/>
      <c r="O16" s="208"/>
      <c r="P16" s="208"/>
      <c r="Q16" s="209"/>
      <c r="R16" s="209"/>
      <c r="S16" s="209"/>
      <c r="T16" s="208"/>
      <c r="U16" s="919"/>
      <c r="V16" s="210"/>
    </row>
    <row r="17" spans="3:22" s="133" customFormat="1">
      <c r="C17" s="121"/>
      <c r="D17" s="121"/>
      <c r="E17" s="121"/>
      <c r="F17" s="121"/>
      <c r="G17" s="121"/>
      <c r="H17" s="121"/>
      <c r="I17" s="121"/>
      <c r="J17" s="121"/>
      <c r="O17" s="208"/>
      <c r="P17" s="208"/>
      <c r="Q17" s="209"/>
      <c r="R17" s="209"/>
      <c r="S17" s="209"/>
      <c r="T17" s="208"/>
      <c r="U17" s="919"/>
      <c r="V17" s="210"/>
    </row>
    <row r="18" spans="3:22" s="133" customFormat="1">
      <c r="C18" s="121"/>
      <c r="D18" s="121"/>
      <c r="E18" s="121"/>
      <c r="F18" s="121"/>
      <c r="G18" s="121"/>
      <c r="H18" s="121"/>
      <c r="I18" s="121"/>
      <c r="J18" s="121"/>
      <c r="O18" s="208"/>
      <c r="P18" s="208"/>
      <c r="Q18" s="209"/>
      <c r="R18" s="209"/>
      <c r="S18" s="209"/>
      <c r="T18" s="208"/>
      <c r="U18" s="919"/>
      <c r="V18" s="210"/>
    </row>
    <row r="19" spans="3:22" s="133" customFormat="1">
      <c r="C19" s="121"/>
      <c r="D19" s="121"/>
      <c r="E19" s="121"/>
      <c r="F19" s="121"/>
      <c r="G19" s="121"/>
      <c r="H19" s="121"/>
      <c r="I19" s="121"/>
      <c r="J19" s="121"/>
      <c r="O19" s="208"/>
      <c r="P19" s="208"/>
      <c r="Q19" s="209"/>
      <c r="R19" s="209"/>
      <c r="S19" s="209"/>
      <c r="T19" s="208"/>
      <c r="U19" s="919"/>
      <c r="V19" s="210"/>
    </row>
    <row r="20" spans="3:22" s="133" customFormat="1">
      <c r="C20" s="121"/>
      <c r="D20" s="121"/>
      <c r="E20" s="121"/>
      <c r="F20" s="121"/>
      <c r="G20" s="121"/>
      <c r="H20" s="121"/>
      <c r="I20" s="121"/>
      <c r="J20" s="121"/>
      <c r="O20" s="208"/>
      <c r="P20" s="208"/>
      <c r="Q20" s="209"/>
      <c r="R20" s="209"/>
      <c r="S20" s="209"/>
      <c r="T20" s="208"/>
      <c r="U20" s="919"/>
      <c r="V20" s="210"/>
    </row>
    <row r="21" spans="3:22" s="133" customFormat="1">
      <c r="C21" s="121"/>
      <c r="D21" s="121"/>
      <c r="E21" s="121"/>
      <c r="F21" s="121"/>
      <c r="G21" s="121"/>
      <c r="H21" s="121"/>
      <c r="I21" s="121"/>
      <c r="J21" s="121"/>
      <c r="O21" s="208"/>
      <c r="P21" s="208"/>
      <c r="Q21" s="209"/>
      <c r="R21" s="209"/>
      <c r="S21" s="209"/>
      <c r="T21" s="208"/>
      <c r="U21" s="919"/>
      <c r="V21" s="210"/>
    </row>
    <row r="22" spans="3:22" s="133" customFormat="1">
      <c r="C22" s="121"/>
      <c r="D22" s="121"/>
      <c r="E22" s="121"/>
      <c r="F22" s="121"/>
      <c r="G22" s="121"/>
      <c r="H22" s="121"/>
      <c r="I22" s="121"/>
      <c r="J22" s="121"/>
      <c r="O22" s="208"/>
      <c r="P22" s="208"/>
      <c r="Q22" s="209"/>
      <c r="R22" s="209"/>
      <c r="S22" s="209"/>
      <c r="T22" s="208"/>
      <c r="U22" s="919"/>
      <c r="V22" s="210"/>
    </row>
    <row r="23" spans="3:22" s="133" customFormat="1">
      <c r="C23" s="121"/>
      <c r="D23" s="121"/>
      <c r="E23" s="121"/>
      <c r="F23" s="121"/>
      <c r="G23" s="121"/>
      <c r="H23" s="121"/>
      <c r="I23" s="121"/>
      <c r="J23" s="121"/>
    </row>
    <row r="24" spans="3:22" s="133" customFormat="1">
      <c r="C24" s="121"/>
      <c r="D24" s="121"/>
      <c r="E24" s="121"/>
      <c r="F24" s="121"/>
      <c r="G24" s="121"/>
      <c r="H24" s="121"/>
      <c r="I24" s="121"/>
      <c r="J24" s="121"/>
    </row>
    <row r="25" spans="3:22" s="133" customFormat="1">
      <c r="C25" s="121"/>
      <c r="D25" s="121"/>
      <c r="E25" s="121"/>
      <c r="F25" s="121"/>
      <c r="G25" s="121"/>
      <c r="H25" s="121"/>
      <c r="I25" s="121"/>
      <c r="J25" s="121"/>
    </row>
    <row r="26" spans="3:22" s="133" customFormat="1">
      <c r="C26" s="121"/>
      <c r="D26" s="121"/>
      <c r="E26" s="121"/>
      <c r="F26" s="121"/>
      <c r="G26" s="121"/>
      <c r="H26" s="121"/>
      <c r="I26" s="121"/>
      <c r="J26" s="121"/>
    </row>
    <row r="27" spans="3:22" s="133" customFormat="1">
      <c r="C27" s="121"/>
      <c r="D27" s="121"/>
      <c r="E27" s="121"/>
      <c r="F27" s="121"/>
      <c r="G27" s="121"/>
      <c r="H27" s="121"/>
      <c r="I27" s="121"/>
      <c r="J27" s="121"/>
    </row>
    <row r="28" spans="3:22" s="133" customFormat="1">
      <c r="C28" s="121"/>
      <c r="D28" s="121"/>
      <c r="E28" s="1458">
        <f>'Bilan financier'!$C$17</f>
        <v>2017</v>
      </c>
      <c r="F28" s="1459"/>
      <c r="G28" s="1458">
        <f>'Bilan financier'!$D$17</f>
        <v>2018</v>
      </c>
      <c r="H28" s="1459"/>
      <c r="I28" s="1457">
        <f>'Bilan financier'!$E$17</f>
        <v>2019</v>
      </c>
      <c r="J28" s="1457"/>
    </row>
    <row r="29" spans="3:22" s="133" customFormat="1" ht="24.95" customHeight="1">
      <c r="C29" s="1574" t="s">
        <v>240</v>
      </c>
      <c r="D29" s="1482"/>
      <c r="E29" s="774" t="e">
        <f>'Analyse rétrospective (1)'!$E$74</f>
        <v>#DIV/0!</v>
      </c>
      <c r="F29" s="775">
        <f>0.5</f>
        <v>0.5</v>
      </c>
      <c r="G29" s="776" t="e">
        <f>'Analyse rétrospective (1)'!$G$74</f>
        <v>#DIV/0!</v>
      </c>
      <c r="H29" s="777">
        <f>0.5</f>
        <v>0.5</v>
      </c>
      <c r="I29" s="776" t="e">
        <f>'Analyse rétrospective (1)'!$I$74</f>
        <v>#DIV/0!</v>
      </c>
      <c r="J29" s="778">
        <f>0.5</f>
        <v>0.5</v>
      </c>
    </row>
    <row r="30" spans="3:22" s="133" customFormat="1" ht="24.95" customHeight="1">
      <c r="C30" s="1574" t="s">
        <v>12</v>
      </c>
      <c r="D30" s="1482"/>
      <c r="E30" s="779" t="e">
        <f>'Analyse rétrospective (1)'!$E$84</f>
        <v>#DIV/0!</v>
      </c>
      <c r="F30" s="598" t="s">
        <v>242</v>
      </c>
      <c r="G30" s="603" t="e">
        <f>'Analyse rétrospective (1)'!$G$84</f>
        <v>#DIV/0!</v>
      </c>
      <c r="H30" s="599" t="s">
        <v>242</v>
      </c>
      <c r="I30" s="604" t="e">
        <f>'Analyse rétrospective (1)'!$I$84</f>
        <v>#DIV/0!</v>
      </c>
      <c r="J30" s="598" t="s">
        <v>242</v>
      </c>
    </row>
    <row r="31" spans="3:22" s="133" customFormat="1" ht="24.95" customHeight="1">
      <c r="C31" s="1574" t="s">
        <v>211</v>
      </c>
      <c r="D31" s="1482"/>
      <c r="E31" s="780" t="e">
        <f>'Analyse rétrospective (1)'!$E$94</f>
        <v>#DIV/0!</v>
      </c>
      <c r="F31" s="212">
        <f>0.3</f>
        <v>0.3</v>
      </c>
      <c r="G31" s="211" t="e">
        <f>'Analyse rétrospective (1)'!$G$94</f>
        <v>#DIV/0!</v>
      </c>
      <c r="H31" s="212">
        <f>0.3</f>
        <v>0.3</v>
      </c>
      <c r="I31" s="211" t="e">
        <f>'Analyse rétrospective (1)'!$I$94</f>
        <v>#DIV/0!</v>
      </c>
      <c r="J31" s="781">
        <f>0.3</f>
        <v>0.3</v>
      </c>
    </row>
    <row r="32" spans="3:22" s="133" customFormat="1" ht="24.95" customHeight="1">
      <c r="C32" s="860" t="s">
        <v>729</v>
      </c>
      <c r="D32" s="859"/>
      <c r="E32" s="713" t="e">
        <f>'Analyse rétrospective (1)'!$E$104</f>
        <v>#DIV/0!</v>
      </c>
      <c r="F32" s="710"/>
      <c r="G32" s="712" t="e">
        <f>'Analyse rétrospective (1)'!$G$104</f>
        <v>#DIV/0!</v>
      </c>
      <c r="H32" s="711"/>
      <c r="I32" s="713" t="e">
        <f>'Analyse rétrospective (1)'!$I$104</f>
        <v>#DIV/0!</v>
      </c>
      <c r="J32" s="710"/>
    </row>
    <row r="33" spans="3:11" s="133" customFormat="1">
      <c r="C33" s="213"/>
      <c r="D33" s="213"/>
      <c r="E33" s="121"/>
      <c r="F33" s="214">
        <v>10</v>
      </c>
      <c r="G33" s="215"/>
      <c r="H33" s="214">
        <v>10</v>
      </c>
      <c r="I33" s="214"/>
      <c r="J33" s="214">
        <v>10</v>
      </c>
      <c r="K33" s="216"/>
    </row>
    <row r="34" spans="3:11" s="133" customFormat="1">
      <c r="C34" s="213"/>
      <c r="D34" s="213"/>
      <c r="E34" s="121"/>
      <c r="F34" s="214"/>
      <c r="G34" s="215"/>
      <c r="H34" s="214"/>
      <c r="I34" s="214"/>
      <c r="J34" s="214"/>
      <c r="K34" s="216"/>
    </row>
    <row r="35" spans="3:11" s="133" customFormat="1">
      <c r="C35" s="213"/>
      <c r="D35" s="213"/>
      <c r="E35" s="121"/>
      <c r="F35" s="214"/>
      <c r="G35" s="215"/>
      <c r="H35" s="214"/>
      <c r="I35" s="214"/>
      <c r="J35" s="214"/>
      <c r="K35" s="216"/>
    </row>
    <row r="36" spans="3:11" s="133" customFormat="1">
      <c r="C36" s="213"/>
      <c r="D36" s="213"/>
      <c r="E36" s="121"/>
      <c r="F36" s="214"/>
      <c r="G36" s="215"/>
      <c r="H36" s="214"/>
      <c r="I36" s="214"/>
      <c r="J36" s="214"/>
      <c r="K36" s="216"/>
    </row>
    <row r="37" spans="3:11" s="133" customFormat="1">
      <c r="C37" s="213"/>
      <c r="D37" s="213"/>
      <c r="E37" s="121"/>
      <c r="F37" s="214"/>
      <c r="G37" s="215"/>
      <c r="H37" s="214"/>
      <c r="I37" s="214"/>
      <c r="J37" s="214"/>
      <c r="K37" s="216"/>
    </row>
    <row r="38" spans="3:11" s="133" customFormat="1">
      <c r="C38" s="213"/>
      <c r="D38" s="213"/>
      <c r="E38" s="121"/>
      <c r="F38" s="214"/>
      <c r="G38" s="215"/>
      <c r="H38" s="214"/>
      <c r="I38" s="214"/>
      <c r="J38" s="214"/>
      <c r="K38" s="216"/>
    </row>
    <row r="39" spans="3:11" s="133" customFormat="1">
      <c r="C39" s="213"/>
      <c r="D39" s="213"/>
      <c r="E39" s="121"/>
      <c r="F39" s="214"/>
      <c r="G39" s="215"/>
      <c r="H39" s="214"/>
      <c r="I39" s="214"/>
      <c r="J39" s="214"/>
      <c r="K39" s="216"/>
    </row>
    <row r="40" spans="3:11" s="133" customFormat="1">
      <c r="C40" s="213"/>
      <c r="D40" s="213"/>
      <c r="E40" s="121"/>
      <c r="F40" s="217"/>
      <c r="G40" s="210"/>
      <c r="H40" s="217"/>
      <c r="I40" s="121"/>
      <c r="J40" s="121"/>
    </row>
    <row r="41" spans="3:11" s="133" customFormat="1">
      <c r="C41" s="213"/>
      <c r="D41" s="213"/>
      <c r="E41" s="121"/>
      <c r="F41" s="217"/>
      <c r="G41" s="210"/>
      <c r="H41" s="217"/>
      <c r="I41" s="121"/>
      <c r="J41" s="121"/>
    </row>
    <row r="42" spans="3:11" s="133" customFormat="1">
      <c r="C42" s="213"/>
      <c r="D42" s="213"/>
      <c r="E42" s="121"/>
      <c r="F42" s="217"/>
      <c r="G42" s="210"/>
      <c r="H42" s="217"/>
      <c r="I42" s="121"/>
      <c r="J42" s="121"/>
    </row>
    <row r="43" spans="3:11" s="133" customFormat="1">
      <c r="C43" s="213"/>
      <c r="D43" s="213"/>
      <c r="E43" s="121"/>
      <c r="F43" s="217"/>
      <c r="G43" s="210"/>
      <c r="H43" s="217"/>
      <c r="I43" s="121"/>
      <c r="J43" s="121"/>
    </row>
    <row r="44" spans="3:11" s="133" customFormat="1">
      <c r="C44" s="213"/>
      <c r="D44" s="213"/>
      <c r="E44" s="121"/>
      <c r="F44" s="217"/>
      <c r="G44" s="210"/>
      <c r="H44" s="217"/>
      <c r="I44" s="121"/>
      <c r="J44" s="121"/>
    </row>
    <row r="45" spans="3:11" s="133" customFormat="1">
      <c r="C45" s="213"/>
      <c r="D45" s="213"/>
      <c r="E45" s="121"/>
      <c r="F45" s="217"/>
      <c r="G45" s="210"/>
      <c r="H45" s="217"/>
      <c r="I45" s="121"/>
      <c r="J45" s="121"/>
    </row>
    <row r="46" spans="3:11" s="133" customFormat="1">
      <c r="C46" s="213"/>
      <c r="D46" s="213"/>
      <c r="E46" s="121"/>
      <c r="F46" s="217"/>
      <c r="G46" s="210"/>
      <c r="H46" s="217"/>
      <c r="I46" s="121"/>
      <c r="J46" s="121"/>
    </row>
    <row r="47" spans="3:11" s="133" customFormat="1">
      <c r="C47" s="213"/>
      <c r="D47" s="213"/>
      <c r="E47" s="121"/>
      <c r="F47" s="217"/>
      <c r="G47" s="210"/>
      <c r="H47" s="217"/>
      <c r="I47" s="121"/>
      <c r="J47" s="121"/>
    </row>
    <row r="48" spans="3:11" s="133" customFormat="1">
      <c r="C48" s="213"/>
      <c r="D48" s="213"/>
      <c r="E48" s="121"/>
      <c r="F48" s="217"/>
      <c r="G48" s="210"/>
      <c r="H48" s="217"/>
      <c r="I48" s="121"/>
      <c r="J48" s="121"/>
    </row>
    <row r="49" spans="2:10" s="133" customFormat="1">
      <c r="C49" s="213"/>
      <c r="D49" s="213"/>
      <c r="E49" s="121"/>
      <c r="F49" s="217"/>
      <c r="G49" s="210"/>
      <c r="H49" s="217"/>
      <c r="I49" s="121"/>
      <c r="J49" s="121"/>
    </row>
    <row r="50" spans="2:10" s="133" customFormat="1">
      <c r="C50" s="213"/>
      <c r="D50" s="213"/>
      <c r="E50" s="121"/>
      <c r="F50" s="217"/>
      <c r="G50" s="210"/>
      <c r="H50" s="217"/>
      <c r="I50" s="121"/>
      <c r="J50" s="121"/>
    </row>
    <row r="51" spans="2:10" s="133" customFormat="1">
      <c r="C51" s="213"/>
      <c r="D51" s="213"/>
      <c r="E51" s="121"/>
      <c r="F51" s="217"/>
      <c r="G51" s="210"/>
      <c r="H51" s="217"/>
      <c r="I51" s="121"/>
      <c r="J51" s="121"/>
    </row>
    <row r="52" spans="2:10" s="133" customFormat="1">
      <c r="C52" s="213"/>
      <c r="D52" s="213"/>
      <c r="E52" s="121"/>
      <c r="F52" s="217"/>
      <c r="G52" s="210"/>
      <c r="H52" s="217"/>
      <c r="I52" s="121"/>
      <c r="J52" s="121"/>
    </row>
    <row r="53" spans="2:10" s="133" customFormat="1">
      <c r="C53" s="213"/>
      <c r="D53" s="213"/>
      <c r="E53" s="1458">
        <f>'Bilan financier'!$C$17</f>
        <v>2017</v>
      </c>
      <c r="F53" s="1565"/>
      <c r="G53" s="1458">
        <f>'Bilan financier'!$D$17</f>
        <v>2018</v>
      </c>
      <c r="H53" s="1565"/>
      <c r="I53" s="1458">
        <f>'Bilan financier'!$E$17</f>
        <v>2019</v>
      </c>
      <c r="J53" s="1565"/>
    </row>
    <row r="54" spans="2:10" s="133" customFormat="1" ht="24.95" customHeight="1">
      <c r="B54" s="1575" t="s">
        <v>696</v>
      </c>
      <c r="C54" s="1575"/>
      <c r="D54" s="1576"/>
      <c r="E54" s="1566" t="e">
        <f>'Analyse rétrospective (1)'!$E$114</f>
        <v>#DIV/0!</v>
      </c>
      <c r="F54" s="1567"/>
      <c r="G54" s="1567" t="e">
        <f>'Analyse rétrospective (1)'!$G$114</f>
        <v>#DIV/0!</v>
      </c>
      <c r="H54" s="1567"/>
      <c r="I54" s="1567" t="e">
        <f>'Analyse rétrospective (1)'!$I$114</f>
        <v>#DIV/0!</v>
      </c>
      <c r="J54" s="1568"/>
    </row>
    <row r="55" spans="2:10" s="133" customFormat="1" ht="24.95" customHeight="1">
      <c r="B55" s="1575" t="s">
        <v>697</v>
      </c>
      <c r="C55" s="1575"/>
      <c r="D55" s="1576"/>
      <c r="E55" s="1564" t="e">
        <f>'Analyse rétrospective (1)'!$E$124</f>
        <v>#DIV/0!</v>
      </c>
      <c r="F55" s="1563"/>
      <c r="G55" s="1563" t="e">
        <f>'Analyse rétrospective (1)'!$G$124</f>
        <v>#DIV/0!</v>
      </c>
      <c r="H55" s="1563"/>
      <c r="I55" s="1563" t="e">
        <f>'Analyse rétrospective (1)'!$I$124</f>
        <v>#DIV/0!</v>
      </c>
      <c r="J55" s="1569"/>
    </row>
    <row r="56" spans="2:10" s="133" customFormat="1" ht="24.95" customHeight="1">
      <c r="B56" s="861"/>
      <c r="C56" s="861"/>
      <c r="D56" s="862"/>
      <c r="E56" s="750"/>
      <c r="F56" s="750"/>
      <c r="G56" s="750"/>
      <c r="H56" s="750"/>
      <c r="I56" s="750"/>
      <c r="J56" s="750"/>
    </row>
    <row r="57" spans="2:10" s="133" customFormat="1" ht="24.95" customHeight="1">
      <c r="B57" s="861"/>
      <c r="C57" s="861"/>
      <c r="D57" s="862"/>
      <c r="E57" s="750"/>
      <c r="F57" s="750"/>
      <c r="G57" s="750"/>
      <c r="H57" s="750"/>
      <c r="I57" s="750"/>
      <c r="J57" s="750"/>
    </row>
    <row r="58" spans="2:10" s="133" customFormat="1" ht="24.95" customHeight="1">
      <c r="B58" s="861"/>
      <c r="C58" s="861"/>
      <c r="D58" s="862"/>
      <c r="E58" s="750"/>
      <c r="F58" s="750"/>
      <c r="G58" s="750"/>
      <c r="H58" s="750"/>
      <c r="I58" s="750"/>
      <c r="J58" s="750"/>
    </row>
    <row r="59" spans="2:10" s="133" customFormat="1" ht="24.95" customHeight="1">
      <c r="B59" s="861"/>
      <c r="C59" s="861"/>
      <c r="D59" s="862"/>
      <c r="E59" s="750"/>
      <c r="F59" s="750"/>
      <c r="G59" s="750"/>
      <c r="H59" s="750"/>
      <c r="I59" s="750"/>
      <c r="J59" s="750"/>
    </row>
    <row r="60" spans="2:10" s="133" customFormat="1" ht="24.95" customHeight="1">
      <c r="B60" s="861"/>
      <c r="C60" s="861"/>
      <c r="D60" s="862"/>
      <c r="E60" s="750"/>
      <c r="F60" s="750"/>
      <c r="G60" s="750"/>
      <c r="H60" s="750"/>
      <c r="I60" s="750"/>
      <c r="J60" s="750"/>
    </row>
    <row r="61" spans="2:10" s="133" customFormat="1" ht="24.95" customHeight="1">
      <c r="B61" s="861"/>
      <c r="C61" s="861"/>
      <c r="D61" s="862"/>
      <c r="E61" s="750"/>
      <c r="F61" s="750"/>
      <c r="G61" s="750"/>
      <c r="H61" s="750"/>
      <c r="I61" s="750"/>
      <c r="J61" s="750"/>
    </row>
    <row r="62" spans="2:10" s="133" customFormat="1">
      <c r="C62" s="213"/>
      <c r="D62" s="213"/>
      <c r="E62" s="121"/>
      <c r="F62" s="217"/>
      <c r="G62" s="210"/>
      <c r="H62" s="217"/>
      <c r="I62" s="121"/>
      <c r="J62" s="121"/>
    </row>
    <row r="63" spans="2:10" s="133" customFormat="1">
      <c r="C63" s="213"/>
      <c r="D63" s="213"/>
      <c r="E63" s="121"/>
      <c r="F63" s="217"/>
      <c r="G63" s="210"/>
      <c r="H63" s="217"/>
      <c r="I63" s="121"/>
      <c r="J63" s="121"/>
    </row>
    <row r="64" spans="2:10" s="133" customFormat="1">
      <c r="C64" s="213"/>
      <c r="D64" s="213"/>
      <c r="E64" s="121"/>
      <c r="F64" s="217"/>
      <c r="G64" s="210"/>
      <c r="H64" s="217"/>
      <c r="I64" s="121"/>
      <c r="J64" s="121"/>
    </row>
    <row r="65" spans="2:10" s="133" customFormat="1">
      <c r="C65" s="213"/>
      <c r="D65" s="213"/>
      <c r="E65" s="1458">
        <f>'Bilan financier'!$C$17</f>
        <v>2017</v>
      </c>
      <c r="F65" s="1459"/>
      <c r="G65" s="1458">
        <f>'Bilan financier'!$D$17</f>
        <v>2018</v>
      </c>
      <c r="H65" s="1459"/>
      <c r="I65" s="1457">
        <f>'Bilan financier'!$E$17</f>
        <v>2019</v>
      </c>
      <c r="J65" s="1457"/>
    </row>
    <row r="66" spans="2:10" s="133" customFormat="1" ht="24.95" customHeight="1">
      <c r="B66" s="1570" t="s">
        <v>672</v>
      </c>
      <c r="C66" s="1570"/>
      <c r="D66" s="1571"/>
      <c r="E66" s="1562">
        <f>CAF!$H$16</f>
        <v>0</v>
      </c>
      <c r="F66" s="1561"/>
      <c r="G66" s="1560">
        <f>CAF!$I$16</f>
        <v>0</v>
      </c>
      <c r="H66" s="1561"/>
      <c r="I66" s="1560">
        <f>CAF!$J$16</f>
        <v>0</v>
      </c>
      <c r="J66" s="1562"/>
    </row>
    <row r="67" spans="2:10" s="133" customFormat="1" ht="24.95" customHeight="1">
      <c r="B67" s="1570" t="s">
        <v>224</v>
      </c>
      <c r="C67" s="1570"/>
      <c r="D67" s="1571"/>
      <c r="E67" s="768" t="e">
        <f>'Analyse rétrospective (1)'!E145:F145</f>
        <v>#DIV/0!</v>
      </c>
      <c r="F67" s="612">
        <f>0.08</f>
        <v>0.08</v>
      </c>
      <c r="G67" s="611" t="e">
        <f>'Analyse rétrospective (1)'!G145:H145</f>
        <v>#DIV/0!</v>
      </c>
      <c r="H67" s="612">
        <f>0.08</f>
        <v>0.08</v>
      </c>
      <c r="I67" s="611" t="e">
        <f>'Analyse rétrospective (1)'!I145:J145</f>
        <v>#DIV/0!</v>
      </c>
      <c r="J67" s="769">
        <f>0.08</f>
        <v>0.08</v>
      </c>
    </row>
    <row r="68" spans="2:10" s="133" customFormat="1" ht="16.5" customHeight="1">
      <c r="C68" s="587"/>
      <c r="D68" s="218"/>
      <c r="E68" s="219"/>
      <c r="F68" s="219"/>
      <c r="G68" s="219"/>
      <c r="H68" s="219"/>
      <c r="I68" s="219"/>
      <c r="J68" s="219"/>
    </row>
    <row r="69" spans="2:10" s="133" customFormat="1" ht="16.5" customHeight="1">
      <c r="C69" s="587"/>
      <c r="D69" s="218"/>
      <c r="E69" s="219"/>
      <c r="F69" s="219"/>
      <c r="G69" s="219"/>
      <c r="H69" s="219"/>
      <c r="I69" s="219"/>
      <c r="J69" s="219"/>
    </row>
    <row r="70" spans="2:10" s="133" customFormat="1" ht="16.5" customHeight="1">
      <c r="C70" s="587"/>
      <c r="D70" s="218"/>
      <c r="E70" s="219"/>
      <c r="F70" s="219"/>
      <c r="G70" s="219"/>
      <c r="H70" s="219"/>
      <c r="I70" s="219"/>
      <c r="J70" s="219"/>
    </row>
    <row r="71" spans="2:10" s="133" customFormat="1" ht="16.5" customHeight="1">
      <c r="C71" s="587"/>
      <c r="D71" s="218"/>
      <c r="E71" s="219"/>
      <c r="F71" s="219"/>
      <c r="G71" s="219"/>
      <c r="H71" s="219"/>
      <c r="I71" s="219"/>
      <c r="J71" s="219"/>
    </row>
    <row r="72" spans="2:10" s="133" customFormat="1" ht="16.5" customHeight="1">
      <c r="C72" s="587"/>
      <c r="D72" s="218"/>
      <c r="E72" s="219"/>
      <c r="F72" s="219"/>
      <c r="G72" s="219"/>
      <c r="H72" s="219"/>
      <c r="I72" s="219"/>
      <c r="J72" s="219"/>
    </row>
    <row r="73" spans="2:10" s="133" customFormat="1" ht="16.5" customHeight="1">
      <c r="C73" s="587"/>
      <c r="D73" s="218"/>
      <c r="E73" s="219"/>
      <c r="F73" s="219"/>
      <c r="G73" s="219"/>
      <c r="H73" s="219"/>
      <c r="I73" s="219"/>
      <c r="J73" s="219"/>
    </row>
    <row r="74" spans="2:10" s="133" customFormat="1" ht="16.5" customHeight="1">
      <c r="C74" s="587"/>
      <c r="D74" s="218"/>
      <c r="E74" s="219"/>
      <c r="F74" s="219"/>
      <c r="G74" s="219"/>
      <c r="H74" s="219"/>
      <c r="I74" s="219"/>
      <c r="J74" s="219"/>
    </row>
    <row r="75" spans="2:10" s="133" customFormat="1" ht="16.5" customHeight="1">
      <c r="C75" s="587"/>
      <c r="D75" s="218"/>
      <c r="E75" s="219"/>
      <c r="F75" s="219"/>
      <c r="G75" s="219"/>
      <c r="H75" s="219"/>
      <c r="I75" s="219"/>
      <c r="J75" s="219"/>
    </row>
    <row r="76" spans="2:10" s="133" customFormat="1" ht="16.5" customHeight="1">
      <c r="C76" s="587"/>
      <c r="D76" s="218"/>
      <c r="E76" s="219"/>
      <c r="F76" s="219"/>
      <c r="G76" s="219"/>
      <c r="H76" s="219"/>
      <c r="I76" s="219"/>
      <c r="J76" s="219"/>
    </row>
    <row r="77" spans="2:10" s="133" customFormat="1" ht="16.5" customHeight="1">
      <c r="C77" s="587"/>
      <c r="D77" s="218"/>
      <c r="E77" s="219"/>
      <c r="F77" s="219"/>
      <c r="G77" s="219"/>
      <c r="H77" s="219"/>
      <c r="I77" s="219"/>
      <c r="J77" s="219"/>
    </row>
    <row r="78" spans="2:10" s="133" customFormat="1" ht="16.5" customHeight="1">
      <c r="C78" s="213"/>
      <c r="D78" s="213"/>
      <c r="E78" s="121"/>
      <c r="F78" s="217"/>
      <c r="G78" s="210"/>
      <c r="H78" s="217"/>
      <c r="I78" s="121"/>
      <c r="J78" s="121"/>
    </row>
    <row r="79" spans="2:10" s="133" customFormat="1" ht="16.5" customHeight="1">
      <c r="C79" s="213"/>
      <c r="D79" s="213"/>
      <c r="E79" s="121"/>
      <c r="F79" s="217"/>
      <c r="G79" s="210"/>
      <c r="H79" s="217"/>
      <c r="I79" s="121"/>
      <c r="J79" s="121"/>
    </row>
    <row r="80" spans="2:10" s="133" customFormat="1" ht="16.5" customHeight="1">
      <c r="C80" s="213"/>
      <c r="D80" s="213"/>
      <c r="E80" s="121"/>
      <c r="F80" s="217"/>
      <c r="G80" s="210"/>
      <c r="H80" s="217"/>
      <c r="I80" s="121"/>
      <c r="J80" s="121"/>
    </row>
    <row r="81" spans="2:15" s="133" customFormat="1">
      <c r="C81" s="213"/>
      <c r="D81" s="213"/>
      <c r="E81" s="1458">
        <f>'Bilan financier'!$C$17</f>
        <v>2017</v>
      </c>
      <c r="F81" s="1459"/>
      <c r="G81" s="1458">
        <f>'Bilan financier'!$D$17</f>
        <v>2018</v>
      </c>
      <c r="H81" s="1459"/>
      <c r="I81" s="1457">
        <f>'Bilan financier'!$E$17</f>
        <v>2019</v>
      </c>
      <c r="J81" s="1457"/>
    </row>
    <row r="82" spans="2:15" s="133" customFormat="1" ht="24.95" customHeight="1">
      <c r="B82" s="1572" t="s">
        <v>251</v>
      </c>
      <c r="C82" s="1572"/>
      <c r="D82" s="1573"/>
      <c r="E82" s="770" t="e">
        <f>'Analyse rétrospective (1)'!$E$155</f>
        <v>#DIV/0!</v>
      </c>
      <c r="F82" s="771" t="s">
        <v>241</v>
      </c>
      <c r="G82" s="772" t="e">
        <f>'Analyse rétrospective (1)'!$G$155</f>
        <v>#DIV/0!</v>
      </c>
      <c r="H82" s="773" t="s">
        <v>241</v>
      </c>
      <c r="I82" s="770" t="e">
        <f>'Analyse rétrospective (1)'!$I$155</f>
        <v>#DIV/0!</v>
      </c>
      <c r="J82" s="771" t="s">
        <v>241</v>
      </c>
    </row>
    <row r="83" spans="2:15" s="133" customFormat="1" ht="24.95" customHeight="1">
      <c r="B83" s="1572" t="s">
        <v>252</v>
      </c>
      <c r="C83" s="1572"/>
      <c r="D83" s="1573"/>
      <c r="E83" s="602" t="e">
        <f>'Analyse rétrospective (1)'!$E$166</f>
        <v>#DIV/0!</v>
      </c>
      <c r="F83" s="600" t="s">
        <v>241</v>
      </c>
      <c r="G83" s="220" t="e">
        <f>'Analyse rétrospective (1)'!$G$166</f>
        <v>#DIV/0!</v>
      </c>
      <c r="H83" s="601" t="s">
        <v>241</v>
      </c>
      <c r="I83" s="602" t="e">
        <f>'Analyse rétrospective (1)'!$I$166</f>
        <v>#DIV/0!</v>
      </c>
      <c r="J83" s="600" t="s">
        <v>241</v>
      </c>
    </row>
    <row r="84" spans="2:15" s="133" customFormat="1" ht="20.100000000000001" customHeight="1">
      <c r="C84" s="586"/>
      <c r="D84" s="221"/>
      <c r="E84" s="222"/>
      <c r="F84" s="223"/>
      <c r="G84" s="222"/>
      <c r="H84" s="223"/>
      <c r="I84" s="222"/>
      <c r="J84" s="223"/>
    </row>
    <row r="85" spans="2:15" s="133" customFormat="1">
      <c r="C85" s="121"/>
      <c r="D85" s="121"/>
      <c r="E85" s="121"/>
      <c r="F85" s="121"/>
      <c r="G85" s="121"/>
      <c r="H85" s="121"/>
      <c r="I85" s="121"/>
      <c r="J85" s="121"/>
    </row>
    <row r="86" spans="2:15" s="133" customFormat="1"/>
    <row r="87" spans="2:15">
      <c r="C87" s="133"/>
      <c r="D87" s="133"/>
      <c r="E87" s="133"/>
      <c r="F87" s="133"/>
      <c r="G87" s="133"/>
      <c r="H87" s="133"/>
      <c r="I87" s="133"/>
      <c r="J87" s="133"/>
      <c r="K87" s="133"/>
      <c r="L87" s="133"/>
      <c r="M87" s="133"/>
      <c r="N87" s="133"/>
      <c r="O87" s="133"/>
    </row>
    <row r="88" spans="2:15">
      <c r="C88" s="133"/>
      <c r="D88" s="133"/>
      <c r="E88" s="133"/>
      <c r="F88" s="133"/>
      <c r="G88" s="133"/>
      <c r="H88" s="133"/>
      <c r="I88" s="133"/>
      <c r="J88" s="133"/>
      <c r="K88" s="133"/>
      <c r="L88" s="133"/>
      <c r="M88" s="133"/>
      <c r="N88" s="133"/>
      <c r="O88" s="133"/>
    </row>
    <row r="89" spans="2:15">
      <c r="C89" s="133"/>
      <c r="D89" s="133"/>
      <c r="E89" s="133"/>
      <c r="F89" s="133"/>
      <c r="G89" s="133"/>
      <c r="H89" s="133"/>
      <c r="I89" s="133"/>
      <c r="J89" s="133"/>
      <c r="K89" s="133"/>
      <c r="L89" s="133"/>
      <c r="M89" s="133"/>
      <c r="N89" s="133"/>
      <c r="O89" s="133"/>
    </row>
    <row r="90" spans="2:15">
      <c r="C90" s="133"/>
      <c r="D90" s="133"/>
      <c r="E90" s="133"/>
      <c r="F90" s="133"/>
      <c r="G90" s="133"/>
      <c r="H90" s="133"/>
      <c r="I90" s="133"/>
      <c r="J90" s="133"/>
      <c r="K90" s="133"/>
      <c r="L90" s="133"/>
      <c r="M90" s="133"/>
      <c r="N90" s="133"/>
      <c r="O90" s="133"/>
    </row>
    <row r="91" spans="2:15">
      <c r="C91" s="133"/>
      <c r="D91" s="133"/>
      <c r="E91" s="133"/>
      <c r="F91" s="133"/>
      <c r="G91" s="133"/>
      <c r="H91" s="133"/>
      <c r="I91" s="133"/>
      <c r="J91" s="133"/>
      <c r="K91" s="133"/>
      <c r="L91" s="133"/>
      <c r="M91" s="133"/>
      <c r="N91" s="133"/>
      <c r="O91" s="133"/>
    </row>
    <row r="92" spans="2:15">
      <c r="C92" s="133"/>
      <c r="D92" s="133"/>
      <c r="E92" s="133"/>
      <c r="F92" s="133"/>
      <c r="G92" s="133"/>
      <c r="H92" s="133"/>
      <c r="I92" s="133"/>
      <c r="J92" s="133"/>
      <c r="K92" s="133"/>
      <c r="L92" s="133"/>
      <c r="M92" s="133"/>
      <c r="N92" s="133"/>
      <c r="O92" s="133"/>
    </row>
    <row r="93" spans="2:15">
      <c r="C93" s="133"/>
      <c r="D93" s="133"/>
      <c r="E93" s="133"/>
      <c r="F93" s="133"/>
      <c r="G93" s="133"/>
      <c r="H93" s="133"/>
      <c r="I93" s="133"/>
      <c r="J93" s="133"/>
      <c r="K93" s="133"/>
      <c r="L93" s="133"/>
      <c r="M93" s="133"/>
      <c r="N93" s="133"/>
      <c r="O93" s="133"/>
    </row>
    <row r="94" spans="2:15">
      <c r="C94" s="133"/>
      <c r="D94" s="133"/>
      <c r="E94" s="133"/>
      <c r="F94" s="133"/>
      <c r="G94" s="133"/>
      <c r="H94" s="133"/>
      <c r="I94" s="133"/>
      <c r="J94" s="133"/>
      <c r="K94" s="133"/>
      <c r="L94" s="133"/>
      <c r="M94" s="133"/>
      <c r="N94" s="133"/>
      <c r="O94" s="133"/>
    </row>
    <row r="95" spans="2:15">
      <c r="C95" s="133"/>
      <c r="D95" s="133"/>
      <c r="E95" s="133"/>
      <c r="F95" s="133"/>
      <c r="G95" s="133"/>
      <c r="H95" s="133"/>
      <c r="I95" s="133"/>
      <c r="J95" s="133"/>
      <c r="K95" s="133"/>
      <c r="L95" s="133"/>
      <c r="M95" s="133"/>
      <c r="N95" s="133"/>
      <c r="O95" s="133"/>
    </row>
    <row r="96" spans="2:15">
      <c r="C96" s="133"/>
      <c r="D96" s="133"/>
      <c r="E96" s="133"/>
      <c r="F96" s="133"/>
      <c r="G96" s="133"/>
      <c r="H96" s="133"/>
      <c r="I96" s="133"/>
      <c r="J96" s="133"/>
      <c r="K96" s="133"/>
      <c r="L96" s="133"/>
      <c r="M96" s="133"/>
      <c r="N96" s="133"/>
      <c r="O96" s="133"/>
    </row>
    <row r="97" spans="3:15">
      <c r="C97" s="133"/>
      <c r="D97" s="133"/>
      <c r="E97" s="133"/>
      <c r="F97" s="133"/>
      <c r="G97" s="133"/>
      <c r="H97" s="133"/>
      <c r="I97" s="133"/>
      <c r="J97" s="133"/>
      <c r="K97" s="133"/>
      <c r="L97" s="133"/>
      <c r="M97" s="133"/>
      <c r="N97" s="133"/>
      <c r="O97" s="133"/>
    </row>
    <row r="98" spans="3:15">
      <c r="C98" s="133"/>
      <c r="D98" s="133"/>
      <c r="E98" s="133"/>
      <c r="F98" s="133"/>
      <c r="G98" s="133"/>
      <c r="H98" s="133"/>
      <c r="I98" s="133"/>
      <c r="J98" s="133"/>
      <c r="K98" s="133"/>
      <c r="L98" s="133"/>
      <c r="M98" s="133"/>
      <c r="N98" s="133"/>
      <c r="O98" s="133"/>
    </row>
    <row r="99" spans="3:15">
      <c r="C99" s="133"/>
      <c r="D99" s="133"/>
      <c r="E99" s="133"/>
      <c r="F99" s="133"/>
      <c r="G99" s="133"/>
      <c r="H99" s="133"/>
      <c r="I99" s="133"/>
      <c r="J99" s="133"/>
      <c r="K99" s="133"/>
      <c r="L99" s="133"/>
      <c r="M99" s="133"/>
      <c r="N99" s="133"/>
      <c r="O99" s="133"/>
    </row>
    <row r="100" spans="3:15">
      <c r="C100" s="133"/>
      <c r="D100" s="133"/>
      <c r="E100" s="133"/>
      <c r="F100" s="133"/>
      <c r="G100" s="133"/>
      <c r="H100" s="133"/>
      <c r="I100" s="133"/>
      <c r="J100" s="133"/>
      <c r="K100" s="133"/>
      <c r="L100" s="133"/>
      <c r="M100" s="133"/>
      <c r="N100" s="133"/>
      <c r="O100" s="133"/>
    </row>
    <row r="101" spans="3:15">
      <c r="C101" s="133"/>
      <c r="D101" s="133"/>
      <c r="E101" s="133"/>
      <c r="F101" s="133"/>
      <c r="G101" s="133"/>
      <c r="H101" s="133"/>
      <c r="I101" s="133"/>
      <c r="J101" s="133"/>
      <c r="K101" s="133"/>
      <c r="L101" s="133"/>
      <c r="M101" s="133"/>
      <c r="N101" s="133"/>
      <c r="O101" s="133"/>
    </row>
    <row r="102" spans="3:15">
      <c r="C102" s="133"/>
      <c r="D102" s="133"/>
      <c r="E102" s="133"/>
      <c r="F102" s="133"/>
      <c r="G102" s="133"/>
      <c r="H102" s="133"/>
      <c r="I102" s="133"/>
      <c r="J102" s="133"/>
      <c r="K102" s="133"/>
      <c r="L102" s="133"/>
      <c r="M102" s="133"/>
      <c r="N102" s="133"/>
      <c r="O102" s="133"/>
    </row>
    <row r="103" spans="3:15">
      <c r="C103" s="133"/>
      <c r="D103" s="133"/>
      <c r="E103" s="133"/>
      <c r="F103" s="133"/>
      <c r="G103" s="133"/>
      <c r="H103" s="133"/>
      <c r="I103" s="133"/>
      <c r="J103" s="133"/>
      <c r="K103" s="133"/>
      <c r="L103" s="133"/>
      <c r="M103" s="133"/>
      <c r="N103" s="133"/>
      <c r="O103" s="133"/>
    </row>
    <row r="104" spans="3:15">
      <c r="C104" s="133"/>
      <c r="D104" s="133"/>
      <c r="E104" s="133"/>
      <c r="F104" s="133"/>
      <c r="G104" s="133"/>
      <c r="H104" s="133"/>
      <c r="I104" s="133"/>
      <c r="J104" s="133"/>
      <c r="K104" s="133"/>
      <c r="L104" s="133"/>
      <c r="M104" s="133"/>
      <c r="N104" s="133"/>
      <c r="O104" s="133"/>
    </row>
    <row r="105" spans="3:15">
      <c r="C105" s="133"/>
      <c r="D105" s="133"/>
      <c r="E105" s="133"/>
      <c r="F105" s="133"/>
      <c r="G105" s="133"/>
      <c r="H105" s="133"/>
      <c r="I105" s="133"/>
      <c r="J105" s="133"/>
      <c r="K105" s="133"/>
      <c r="L105" s="133"/>
      <c r="M105" s="133"/>
      <c r="N105" s="133"/>
      <c r="O105" s="133"/>
    </row>
    <row r="106" spans="3:15">
      <c r="C106" s="133"/>
      <c r="D106" s="133"/>
      <c r="E106" s="133"/>
      <c r="F106" s="133"/>
      <c r="G106" s="133"/>
      <c r="H106" s="133"/>
      <c r="I106" s="133"/>
      <c r="J106" s="133"/>
      <c r="K106" s="133"/>
      <c r="L106" s="133"/>
      <c r="M106" s="133"/>
      <c r="N106" s="133"/>
      <c r="O106" s="133"/>
    </row>
    <row r="107" spans="3:15">
      <c r="C107" s="133"/>
      <c r="D107" s="133"/>
      <c r="E107" s="133"/>
      <c r="F107" s="133"/>
      <c r="G107" s="133"/>
      <c r="H107" s="133"/>
      <c r="I107" s="133"/>
      <c r="J107" s="133"/>
      <c r="K107" s="133"/>
      <c r="L107" s="133"/>
      <c r="M107" s="133"/>
      <c r="N107" s="133"/>
      <c r="O107" s="133"/>
    </row>
    <row r="108" spans="3:15">
      <c r="C108" s="133"/>
      <c r="D108" s="133"/>
      <c r="E108" s="133"/>
      <c r="F108" s="133"/>
      <c r="G108" s="133"/>
      <c r="H108" s="133"/>
      <c r="I108" s="133"/>
      <c r="J108" s="133"/>
      <c r="K108" s="133"/>
      <c r="L108" s="133"/>
      <c r="M108" s="133"/>
      <c r="N108" s="133"/>
      <c r="O108" s="133"/>
    </row>
    <row r="109" spans="3:15">
      <c r="C109" s="133"/>
      <c r="D109" s="133"/>
      <c r="E109" s="133"/>
      <c r="F109" s="133"/>
      <c r="G109" s="133"/>
      <c r="H109" s="133"/>
      <c r="I109" s="133"/>
      <c r="J109" s="133"/>
      <c r="K109" s="133"/>
      <c r="L109" s="133"/>
      <c r="M109" s="133"/>
      <c r="N109" s="133"/>
      <c r="O109" s="133"/>
    </row>
    <row r="110" spans="3:15">
      <c r="C110" s="133"/>
      <c r="D110" s="133"/>
      <c r="E110" s="133"/>
      <c r="F110" s="133"/>
      <c r="G110" s="133"/>
      <c r="H110" s="133"/>
      <c r="I110" s="133"/>
      <c r="J110" s="133"/>
      <c r="K110" s="133"/>
      <c r="L110" s="133"/>
      <c r="M110" s="133"/>
      <c r="N110" s="133"/>
      <c r="O110" s="133"/>
    </row>
    <row r="111" spans="3:15">
      <c r="C111" s="133"/>
      <c r="D111" s="133"/>
      <c r="E111" s="133"/>
      <c r="F111" s="133"/>
      <c r="G111" s="133"/>
      <c r="H111" s="133"/>
      <c r="I111" s="133"/>
      <c r="J111" s="133"/>
      <c r="K111" s="133"/>
      <c r="L111" s="133"/>
      <c r="M111" s="133"/>
      <c r="N111" s="133"/>
      <c r="O111" s="133"/>
    </row>
    <row r="112" spans="3:15">
      <c r="C112" s="133"/>
      <c r="D112" s="133"/>
      <c r="E112" s="133"/>
      <c r="F112" s="133"/>
      <c r="G112" s="133"/>
      <c r="H112" s="133"/>
      <c r="I112" s="133"/>
      <c r="J112" s="133"/>
      <c r="K112" s="133"/>
      <c r="L112" s="133"/>
      <c r="M112" s="133"/>
      <c r="N112" s="133"/>
      <c r="O112" s="133"/>
    </row>
    <row r="113" spans="3:15">
      <c r="C113" s="133"/>
      <c r="D113" s="133"/>
      <c r="E113" s="133"/>
      <c r="F113" s="133"/>
      <c r="G113" s="133"/>
      <c r="H113" s="133"/>
      <c r="I113" s="133"/>
      <c r="J113" s="133"/>
      <c r="K113" s="133"/>
      <c r="L113" s="133"/>
      <c r="M113" s="133"/>
      <c r="N113" s="133"/>
      <c r="O113" s="133"/>
    </row>
    <row r="114" spans="3:15">
      <c r="C114" s="133"/>
      <c r="D114" s="133"/>
      <c r="E114" s="133"/>
      <c r="F114" s="133"/>
      <c r="G114" s="133"/>
      <c r="H114" s="133"/>
      <c r="I114" s="133"/>
      <c r="J114" s="133"/>
      <c r="K114" s="133"/>
      <c r="L114" s="133"/>
      <c r="M114" s="133"/>
      <c r="N114" s="133"/>
      <c r="O114" s="133"/>
    </row>
    <row r="115" spans="3:15">
      <c r="C115" s="133"/>
      <c r="D115" s="133"/>
      <c r="E115" s="133"/>
      <c r="F115" s="133"/>
      <c r="G115" s="133"/>
      <c r="H115" s="133"/>
      <c r="I115" s="133"/>
      <c r="J115" s="133"/>
      <c r="K115" s="133"/>
      <c r="L115" s="133"/>
      <c r="M115" s="133"/>
      <c r="N115" s="133"/>
      <c r="O115" s="133"/>
    </row>
    <row r="116" spans="3:15">
      <c r="C116" s="133"/>
      <c r="D116" s="133"/>
      <c r="E116" s="133"/>
      <c r="F116" s="133"/>
      <c r="G116" s="133"/>
      <c r="H116" s="133"/>
      <c r="I116" s="133"/>
      <c r="J116" s="133"/>
      <c r="K116" s="133"/>
      <c r="L116" s="133"/>
      <c r="M116" s="133"/>
      <c r="N116" s="133"/>
      <c r="O116" s="133"/>
    </row>
    <row r="117" spans="3:15">
      <c r="C117" s="133"/>
      <c r="D117" s="133"/>
      <c r="E117" s="133"/>
      <c r="F117" s="133"/>
      <c r="G117" s="133"/>
      <c r="H117" s="133"/>
      <c r="I117" s="133"/>
      <c r="J117" s="133"/>
      <c r="K117" s="133"/>
      <c r="L117" s="133"/>
      <c r="M117" s="133"/>
      <c r="N117" s="133"/>
      <c r="O117" s="133"/>
    </row>
    <row r="118" spans="3:15">
      <c r="C118" s="133"/>
      <c r="D118" s="133"/>
      <c r="E118" s="133"/>
      <c r="F118" s="133"/>
      <c r="G118" s="133"/>
      <c r="H118" s="133"/>
      <c r="I118" s="133"/>
      <c r="J118" s="133"/>
      <c r="K118" s="133"/>
      <c r="L118" s="133"/>
      <c r="M118" s="133"/>
      <c r="N118" s="133"/>
      <c r="O118" s="133"/>
    </row>
    <row r="119" spans="3:15">
      <c r="C119" s="133"/>
      <c r="D119" s="133"/>
      <c r="E119" s="133"/>
      <c r="F119" s="133"/>
      <c r="G119" s="133"/>
      <c r="H119" s="133"/>
      <c r="I119" s="133"/>
      <c r="J119" s="133"/>
      <c r="K119" s="133"/>
      <c r="L119" s="133"/>
      <c r="M119" s="133"/>
      <c r="N119" s="133"/>
      <c r="O119" s="133"/>
    </row>
    <row r="120" spans="3:15">
      <c r="C120" s="133"/>
      <c r="D120" s="133"/>
      <c r="E120" s="133"/>
      <c r="F120" s="133"/>
      <c r="G120" s="133"/>
      <c r="H120" s="133"/>
      <c r="I120" s="133"/>
      <c r="J120" s="133"/>
      <c r="K120" s="133"/>
      <c r="L120" s="133"/>
      <c r="M120" s="133"/>
      <c r="N120" s="133"/>
      <c r="O120" s="133"/>
    </row>
    <row r="121" spans="3:15">
      <c r="C121" s="133"/>
      <c r="D121" s="133"/>
      <c r="E121" s="133"/>
      <c r="F121" s="133"/>
      <c r="G121" s="133"/>
      <c r="H121" s="133"/>
      <c r="I121" s="133"/>
      <c r="J121" s="133"/>
      <c r="K121" s="133"/>
      <c r="L121" s="133"/>
      <c r="M121" s="133"/>
      <c r="N121" s="133"/>
      <c r="O121" s="133"/>
    </row>
    <row r="122" spans="3:15">
      <c r="C122" s="133"/>
      <c r="D122" s="133"/>
      <c r="E122" s="133"/>
      <c r="F122" s="133"/>
      <c r="G122" s="133"/>
      <c r="H122" s="133"/>
      <c r="I122" s="133"/>
      <c r="J122" s="133"/>
      <c r="K122" s="133"/>
      <c r="L122" s="133"/>
      <c r="M122" s="133"/>
      <c r="N122" s="133"/>
      <c r="O122" s="133"/>
    </row>
    <row r="123" spans="3:15">
      <c r="C123" s="133"/>
      <c r="D123" s="133"/>
      <c r="E123" s="133"/>
      <c r="F123" s="133"/>
      <c r="G123" s="133"/>
      <c r="H123" s="133"/>
      <c r="I123" s="133"/>
      <c r="J123" s="133"/>
      <c r="K123" s="133"/>
      <c r="L123" s="133"/>
      <c r="M123" s="133"/>
      <c r="N123" s="133"/>
      <c r="O123" s="133"/>
    </row>
    <row r="124" spans="3:15">
      <c r="C124" s="133"/>
      <c r="D124" s="133"/>
      <c r="E124" s="133"/>
      <c r="F124" s="133"/>
      <c r="G124" s="133"/>
      <c r="H124" s="133"/>
      <c r="I124" s="133"/>
      <c r="J124" s="133"/>
      <c r="K124" s="133"/>
      <c r="L124" s="133"/>
      <c r="M124" s="133"/>
      <c r="N124" s="133"/>
      <c r="O124" s="133"/>
    </row>
    <row r="125" spans="3:15">
      <c r="C125" s="133"/>
      <c r="D125" s="133"/>
      <c r="E125" s="133"/>
      <c r="F125" s="133"/>
      <c r="G125" s="133"/>
      <c r="H125" s="133"/>
      <c r="I125" s="133"/>
      <c r="J125" s="133"/>
      <c r="K125" s="133"/>
      <c r="L125" s="133"/>
      <c r="M125" s="133"/>
      <c r="N125" s="133"/>
      <c r="O125" s="133"/>
    </row>
    <row r="126" spans="3:15">
      <c r="C126" s="133"/>
      <c r="D126" s="133"/>
      <c r="E126" s="133"/>
      <c r="F126" s="133"/>
      <c r="G126" s="133"/>
      <c r="H126" s="133"/>
      <c r="I126" s="133"/>
      <c r="J126" s="133"/>
      <c r="K126" s="133"/>
      <c r="L126" s="133"/>
      <c r="M126" s="133"/>
      <c r="N126" s="133"/>
      <c r="O126" s="133"/>
    </row>
    <row r="127" spans="3:15">
      <c r="C127" s="133"/>
      <c r="D127" s="133"/>
      <c r="E127" s="133"/>
      <c r="F127" s="133"/>
      <c r="G127" s="133"/>
      <c r="H127" s="133"/>
      <c r="I127" s="133"/>
      <c r="J127" s="133"/>
      <c r="K127" s="133"/>
      <c r="L127" s="133"/>
      <c r="M127" s="133"/>
      <c r="N127" s="133"/>
      <c r="O127" s="133"/>
    </row>
    <row r="128" spans="3:15">
      <c r="C128" s="133"/>
      <c r="D128" s="133"/>
      <c r="E128" s="133"/>
      <c r="F128" s="133"/>
      <c r="G128" s="133"/>
      <c r="H128" s="133"/>
      <c r="I128" s="133"/>
      <c r="J128" s="133"/>
      <c r="K128" s="133"/>
      <c r="L128" s="133"/>
      <c r="M128" s="133"/>
      <c r="N128" s="133"/>
      <c r="O128" s="133"/>
    </row>
    <row r="129" spans="3:15">
      <c r="C129" s="133"/>
      <c r="D129" s="133"/>
      <c r="E129" s="133"/>
      <c r="F129" s="133"/>
      <c r="G129" s="133"/>
      <c r="H129" s="133"/>
      <c r="I129" s="133"/>
      <c r="J129" s="133"/>
      <c r="K129" s="133"/>
      <c r="L129" s="133"/>
      <c r="M129" s="133"/>
      <c r="N129" s="133"/>
      <c r="O129" s="133"/>
    </row>
    <row r="130" spans="3:15">
      <c r="C130" s="133"/>
      <c r="D130" s="133"/>
      <c r="E130" s="133"/>
      <c r="F130" s="133"/>
      <c r="G130" s="133"/>
      <c r="H130" s="133"/>
      <c r="I130" s="133"/>
      <c r="J130" s="133"/>
      <c r="K130" s="133"/>
      <c r="L130" s="133"/>
      <c r="M130" s="133"/>
      <c r="N130" s="133"/>
      <c r="O130" s="133"/>
    </row>
    <row r="131" spans="3:15">
      <c r="C131" s="133"/>
      <c r="D131" s="133"/>
      <c r="E131" s="133"/>
      <c r="F131" s="133"/>
      <c r="G131" s="133"/>
      <c r="H131" s="133"/>
      <c r="I131" s="133"/>
      <c r="J131" s="133"/>
      <c r="K131" s="133"/>
      <c r="L131" s="133"/>
      <c r="M131" s="133"/>
      <c r="N131" s="133"/>
      <c r="O131" s="133"/>
    </row>
    <row r="132" spans="3:15">
      <c r="C132" s="133"/>
      <c r="D132" s="133"/>
      <c r="E132" s="133"/>
      <c r="F132" s="133"/>
      <c r="G132" s="133"/>
      <c r="H132" s="133"/>
      <c r="I132" s="133"/>
      <c r="J132" s="133"/>
      <c r="K132" s="133"/>
      <c r="L132" s="133"/>
      <c r="M132" s="133"/>
      <c r="N132" s="133"/>
      <c r="O132" s="133"/>
    </row>
    <row r="133" spans="3:15">
      <c r="C133" s="133"/>
      <c r="D133" s="133"/>
      <c r="E133" s="133"/>
      <c r="F133" s="133"/>
      <c r="G133" s="133"/>
      <c r="H133" s="133"/>
      <c r="I133" s="133"/>
      <c r="J133" s="133"/>
      <c r="K133" s="133"/>
      <c r="L133" s="133"/>
      <c r="M133" s="133"/>
      <c r="N133" s="133"/>
      <c r="O133" s="133"/>
    </row>
    <row r="134" spans="3:15">
      <c r="C134" s="133"/>
      <c r="D134" s="133"/>
      <c r="E134" s="133"/>
      <c r="F134" s="133"/>
      <c r="G134" s="133"/>
      <c r="H134" s="133"/>
      <c r="I134" s="133"/>
      <c r="J134" s="133"/>
      <c r="K134" s="133"/>
      <c r="L134" s="133"/>
      <c r="M134" s="133"/>
      <c r="N134" s="133"/>
      <c r="O134" s="133"/>
    </row>
    <row r="135" spans="3:15">
      <c r="C135" s="133"/>
      <c r="D135" s="133"/>
      <c r="E135" s="133"/>
      <c r="F135" s="133"/>
      <c r="G135" s="133"/>
      <c r="H135" s="133"/>
      <c r="I135" s="133"/>
      <c r="J135" s="133"/>
      <c r="K135" s="133"/>
      <c r="L135" s="133"/>
      <c r="M135" s="133"/>
      <c r="N135" s="133"/>
      <c r="O135" s="133"/>
    </row>
    <row r="136" spans="3:15">
      <c r="C136" s="133"/>
      <c r="D136" s="133"/>
      <c r="E136" s="133"/>
      <c r="F136" s="133"/>
      <c r="G136" s="133"/>
      <c r="H136" s="133"/>
      <c r="I136" s="133"/>
      <c r="J136" s="133"/>
      <c r="K136" s="133"/>
      <c r="L136" s="133"/>
      <c r="M136" s="133"/>
      <c r="N136" s="133"/>
      <c r="O136" s="133"/>
    </row>
    <row r="137" spans="3:15">
      <c r="C137" s="133"/>
      <c r="D137" s="133"/>
      <c r="E137" s="133"/>
      <c r="F137" s="133"/>
      <c r="G137" s="133"/>
      <c r="H137" s="133"/>
      <c r="I137" s="133"/>
      <c r="J137" s="133"/>
      <c r="K137" s="133"/>
      <c r="L137" s="133"/>
      <c r="M137" s="133"/>
      <c r="N137" s="133"/>
      <c r="O137" s="133"/>
    </row>
    <row r="138" spans="3:15">
      <c r="C138" s="133"/>
      <c r="D138" s="133"/>
      <c r="E138" s="133"/>
      <c r="F138" s="133"/>
      <c r="G138" s="133"/>
      <c r="H138" s="133"/>
      <c r="I138" s="133"/>
      <c r="J138" s="133"/>
      <c r="K138" s="133"/>
      <c r="L138" s="133"/>
      <c r="M138" s="133"/>
      <c r="N138" s="133"/>
      <c r="O138" s="133"/>
    </row>
    <row r="139" spans="3:15">
      <c r="C139" s="133"/>
      <c r="D139" s="133"/>
      <c r="E139" s="133"/>
      <c r="F139" s="133"/>
      <c r="G139" s="133"/>
      <c r="H139" s="133"/>
      <c r="I139" s="133"/>
      <c r="J139" s="133"/>
      <c r="K139" s="133"/>
      <c r="L139" s="133"/>
      <c r="M139" s="133"/>
      <c r="N139" s="133"/>
      <c r="O139" s="133"/>
    </row>
    <row r="140" spans="3:15">
      <c r="C140" s="133"/>
      <c r="D140" s="133"/>
      <c r="E140" s="133"/>
      <c r="F140" s="133"/>
      <c r="G140" s="133"/>
      <c r="H140" s="133"/>
      <c r="I140" s="133"/>
      <c r="J140" s="133"/>
      <c r="K140" s="133"/>
      <c r="L140" s="133"/>
      <c r="M140" s="133"/>
      <c r="N140" s="133"/>
      <c r="O140" s="133"/>
    </row>
    <row r="141" spans="3:15">
      <c r="C141" s="133"/>
      <c r="D141" s="133"/>
      <c r="E141" s="133"/>
      <c r="F141" s="133"/>
      <c r="G141" s="133"/>
      <c r="H141" s="133"/>
      <c r="I141" s="133"/>
      <c r="J141" s="133"/>
      <c r="K141" s="133"/>
      <c r="L141" s="133"/>
      <c r="M141" s="133"/>
      <c r="N141" s="133"/>
      <c r="O141" s="133"/>
    </row>
    <row r="142" spans="3:15">
      <c r="C142" s="133"/>
      <c r="D142" s="133"/>
      <c r="E142" s="133"/>
      <c r="F142" s="133"/>
      <c r="G142" s="133"/>
      <c r="H142" s="133"/>
      <c r="I142" s="133"/>
      <c r="J142" s="133"/>
      <c r="K142" s="133"/>
      <c r="L142" s="133"/>
      <c r="M142" s="133"/>
      <c r="N142" s="133"/>
      <c r="O142" s="133"/>
    </row>
    <row r="143" spans="3:15">
      <c r="C143" s="133"/>
      <c r="D143" s="133"/>
      <c r="E143" s="133"/>
      <c r="F143" s="133"/>
      <c r="G143" s="133"/>
      <c r="H143" s="133"/>
      <c r="I143" s="133"/>
      <c r="J143" s="133"/>
      <c r="K143" s="133"/>
      <c r="L143" s="133"/>
      <c r="M143" s="133"/>
      <c r="N143" s="133"/>
      <c r="O143" s="133"/>
    </row>
    <row r="144" spans="3:15">
      <c r="C144" s="133"/>
      <c r="D144" s="133"/>
      <c r="E144" s="133"/>
      <c r="F144" s="133"/>
      <c r="G144" s="133"/>
      <c r="H144" s="133"/>
      <c r="I144" s="133"/>
      <c r="J144" s="133"/>
      <c r="K144" s="133"/>
      <c r="L144" s="133"/>
      <c r="M144" s="133"/>
      <c r="N144" s="133"/>
      <c r="O144" s="133"/>
    </row>
    <row r="145" spans="3:15">
      <c r="C145" s="133"/>
      <c r="D145" s="133"/>
      <c r="E145" s="133"/>
      <c r="F145" s="133"/>
      <c r="G145" s="133"/>
      <c r="H145" s="133"/>
      <c r="I145" s="133"/>
      <c r="J145" s="133"/>
      <c r="K145" s="133"/>
      <c r="L145" s="133"/>
      <c r="M145" s="133"/>
      <c r="N145" s="133"/>
      <c r="O145" s="133"/>
    </row>
    <row r="146" spans="3:15">
      <c r="C146" s="133"/>
      <c r="D146" s="133"/>
      <c r="E146" s="133"/>
      <c r="F146" s="133"/>
      <c r="G146" s="133"/>
      <c r="H146" s="133"/>
      <c r="I146" s="133"/>
      <c r="J146" s="133"/>
      <c r="K146" s="133"/>
      <c r="L146" s="133"/>
      <c r="M146" s="133"/>
      <c r="N146" s="133"/>
      <c r="O146" s="133"/>
    </row>
    <row r="147" spans="3:15">
      <c r="C147" s="133"/>
      <c r="D147" s="133"/>
      <c r="E147" s="133"/>
      <c r="F147" s="133"/>
      <c r="G147" s="133"/>
      <c r="H147" s="133"/>
      <c r="I147" s="133"/>
      <c r="J147" s="133"/>
      <c r="K147" s="133"/>
      <c r="L147" s="133"/>
      <c r="M147" s="133"/>
      <c r="N147" s="133"/>
      <c r="O147" s="133"/>
    </row>
    <row r="148" spans="3:15">
      <c r="C148" s="133"/>
      <c r="D148" s="133"/>
      <c r="E148" s="133"/>
      <c r="F148" s="133"/>
      <c r="G148" s="133"/>
      <c r="H148" s="133"/>
      <c r="I148" s="133"/>
      <c r="J148" s="133"/>
      <c r="K148" s="133"/>
      <c r="L148" s="133"/>
      <c r="M148" s="133"/>
      <c r="N148" s="133"/>
      <c r="O148" s="133"/>
    </row>
    <row r="149" spans="3:15">
      <c r="C149" s="133"/>
      <c r="D149" s="133"/>
      <c r="E149" s="133"/>
      <c r="F149" s="133"/>
      <c r="G149" s="133"/>
      <c r="H149" s="133"/>
      <c r="I149" s="133"/>
      <c r="J149" s="133"/>
      <c r="K149" s="133"/>
      <c r="L149" s="133"/>
      <c r="M149" s="133"/>
      <c r="N149" s="133"/>
      <c r="O149" s="133"/>
    </row>
    <row r="150" spans="3:15">
      <c r="C150" s="133"/>
      <c r="D150" s="133"/>
      <c r="E150" s="133"/>
      <c r="F150" s="133"/>
      <c r="G150" s="133"/>
      <c r="H150" s="133"/>
      <c r="I150" s="133"/>
      <c r="J150" s="133"/>
      <c r="K150" s="133"/>
      <c r="L150" s="133"/>
      <c r="M150" s="133"/>
      <c r="N150" s="133"/>
      <c r="O150" s="133"/>
    </row>
    <row r="151" spans="3:15">
      <c r="C151" s="133"/>
      <c r="D151" s="133"/>
      <c r="E151" s="133"/>
      <c r="F151" s="133"/>
      <c r="G151" s="133"/>
      <c r="H151" s="133"/>
      <c r="I151" s="133"/>
      <c r="J151" s="133"/>
      <c r="K151" s="133"/>
      <c r="L151" s="133"/>
      <c r="M151" s="133"/>
      <c r="N151" s="133"/>
      <c r="O151" s="133"/>
    </row>
    <row r="152" spans="3:15">
      <c r="C152" s="133"/>
      <c r="D152" s="133"/>
      <c r="E152" s="133"/>
      <c r="F152" s="133"/>
      <c r="G152" s="133"/>
      <c r="H152" s="133"/>
      <c r="I152" s="133"/>
      <c r="J152" s="133"/>
      <c r="K152" s="133"/>
      <c r="L152" s="133"/>
      <c r="M152" s="133"/>
      <c r="N152" s="133"/>
      <c r="O152" s="133"/>
    </row>
    <row r="153" spans="3:15">
      <c r="C153" s="133"/>
      <c r="D153" s="133"/>
      <c r="E153" s="133"/>
      <c r="F153" s="133"/>
      <c r="G153" s="133"/>
      <c r="H153" s="133"/>
      <c r="I153" s="133"/>
      <c r="J153" s="133"/>
      <c r="K153" s="133"/>
      <c r="L153" s="133"/>
      <c r="M153" s="133"/>
      <c r="N153" s="133"/>
      <c r="O153" s="133"/>
    </row>
    <row r="154" spans="3:15">
      <c r="C154" s="133"/>
      <c r="D154" s="133"/>
      <c r="E154" s="133"/>
      <c r="F154" s="133"/>
      <c r="G154" s="133"/>
      <c r="H154" s="133"/>
      <c r="I154" s="133"/>
      <c r="J154" s="133"/>
      <c r="K154" s="133"/>
      <c r="L154" s="133"/>
      <c r="M154" s="133"/>
      <c r="N154" s="133"/>
      <c r="O154" s="133"/>
    </row>
    <row r="155" spans="3:15">
      <c r="C155" s="133"/>
      <c r="D155" s="133"/>
      <c r="E155" s="133"/>
      <c r="F155" s="133"/>
      <c r="G155" s="133"/>
      <c r="H155" s="133"/>
      <c r="I155" s="133"/>
      <c r="J155" s="133"/>
      <c r="K155" s="133"/>
      <c r="L155" s="133"/>
      <c r="M155" s="133"/>
      <c r="N155" s="133"/>
      <c r="O155" s="133"/>
    </row>
    <row r="156" spans="3:15">
      <c r="C156" s="133"/>
      <c r="D156" s="133"/>
      <c r="E156" s="133"/>
      <c r="F156" s="133"/>
      <c r="G156" s="133"/>
      <c r="H156" s="133"/>
      <c r="I156" s="133"/>
      <c r="J156" s="133"/>
      <c r="K156" s="133"/>
      <c r="L156" s="133"/>
      <c r="M156" s="133"/>
      <c r="N156" s="133"/>
      <c r="O156" s="133"/>
    </row>
    <row r="157" spans="3:15">
      <c r="C157" s="133"/>
      <c r="D157" s="133"/>
      <c r="E157" s="133"/>
      <c r="F157" s="133"/>
      <c r="G157" s="133"/>
      <c r="H157" s="133"/>
      <c r="I157" s="133"/>
      <c r="J157" s="133"/>
      <c r="K157" s="133"/>
      <c r="L157" s="133"/>
      <c r="M157" s="133"/>
      <c r="N157" s="133"/>
      <c r="O157" s="133"/>
    </row>
    <row r="158" spans="3:15">
      <c r="C158" s="133"/>
      <c r="D158" s="133"/>
      <c r="E158" s="133"/>
      <c r="F158" s="133"/>
      <c r="G158" s="133"/>
      <c r="H158" s="133"/>
      <c r="I158" s="133"/>
      <c r="J158" s="133"/>
      <c r="K158" s="133"/>
      <c r="L158" s="133"/>
      <c r="M158" s="133"/>
      <c r="N158" s="133"/>
      <c r="O158" s="133"/>
    </row>
    <row r="159" spans="3:15">
      <c r="C159" s="133"/>
      <c r="D159" s="133"/>
      <c r="E159" s="133"/>
      <c r="F159" s="133"/>
      <c r="G159" s="133"/>
      <c r="H159" s="133"/>
      <c r="I159" s="133"/>
      <c r="J159" s="133"/>
      <c r="K159" s="133"/>
      <c r="L159" s="133"/>
      <c r="M159" s="133"/>
      <c r="N159" s="133"/>
      <c r="O159" s="133"/>
    </row>
    <row r="160" spans="3:15">
      <c r="C160" s="133"/>
      <c r="D160" s="133"/>
      <c r="E160" s="133"/>
      <c r="F160" s="133"/>
      <c r="G160" s="133"/>
      <c r="H160" s="133"/>
      <c r="I160" s="133"/>
      <c r="J160" s="133"/>
      <c r="K160" s="133"/>
      <c r="L160" s="133"/>
      <c r="M160" s="133"/>
      <c r="N160" s="133"/>
      <c r="O160" s="133"/>
    </row>
    <row r="161" spans="3:15">
      <c r="C161" s="133"/>
      <c r="D161" s="133"/>
      <c r="E161" s="133"/>
      <c r="F161" s="133"/>
      <c r="G161" s="133"/>
      <c r="H161" s="133"/>
      <c r="I161" s="133"/>
      <c r="J161" s="133"/>
      <c r="K161" s="133"/>
      <c r="L161" s="133"/>
      <c r="M161" s="133"/>
      <c r="N161" s="133"/>
      <c r="O161" s="133"/>
    </row>
    <row r="162" spans="3:15">
      <c r="C162" s="133"/>
      <c r="D162" s="133"/>
      <c r="E162" s="133"/>
      <c r="F162" s="133"/>
      <c r="G162" s="133"/>
      <c r="H162" s="133"/>
      <c r="I162" s="133"/>
      <c r="J162" s="133"/>
      <c r="K162" s="133"/>
      <c r="L162" s="133"/>
      <c r="M162" s="133"/>
      <c r="N162" s="133"/>
      <c r="O162" s="133"/>
    </row>
    <row r="163" spans="3:15">
      <c r="C163" s="133"/>
      <c r="D163" s="133"/>
      <c r="E163" s="133"/>
      <c r="F163" s="133"/>
      <c r="G163" s="133"/>
      <c r="H163" s="133"/>
      <c r="I163" s="133"/>
      <c r="J163" s="133"/>
      <c r="K163" s="133"/>
      <c r="L163" s="133"/>
      <c r="M163" s="133"/>
      <c r="N163" s="133"/>
      <c r="O163" s="133"/>
    </row>
    <row r="164" spans="3:15">
      <c r="C164" s="133"/>
      <c r="D164" s="133"/>
      <c r="E164" s="133"/>
      <c r="F164" s="133"/>
      <c r="G164" s="133"/>
      <c r="H164" s="133"/>
      <c r="I164" s="133"/>
      <c r="J164" s="133"/>
      <c r="K164" s="133"/>
      <c r="L164" s="133"/>
      <c r="M164" s="133"/>
      <c r="N164" s="133"/>
      <c r="O164" s="133"/>
    </row>
    <row r="165" spans="3:15">
      <c r="C165" s="133"/>
      <c r="D165" s="133"/>
      <c r="E165" s="133"/>
      <c r="F165" s="133"/>
      <c r="G165" s="133"/>
      <c r="H165" s="133"/>
      <c r="I165" s="133"/>
      <c r="J165" s="133"/>
      <c r="K165" s="133"/>
      <c r="L165" s="133"/>
      <c r="M165" s="133"/>
      <c r="N165" s="133"/>
      <c r="O165" s="133"/>
    </row>
    <row r="166" spans="3:15">
      <c r="C166" s="133"/>
      <c r="D166" s="133"/>
      <c r="E166" s="133"/>
      <c r="F166" s="133"/>
      <c r="G166" s="133"/>
      <c r="H166" s="133"/>
      <c r="I166" s="133"/>
      <c r="J166" s="133"/>
      <c r="K166" s="133"/>
      <c r="L166" s="133"/>
      <c r="M166" s="133"/>
      <c r="N166" s="133"/>
      <c r="O166" s="133"/>
    </row>
    <row r="167" spans="3:15">
      <c r="C167" s="133"/>
      <c r="D167" s="133"/>
      <c r="E167" s="133"/>
      <c r="F167" s="133"/>
      <c r="G167" s="133"/>
      <c r="H167" s="133"/>
      <c r="I167" s="133"/>
      <c r="J167" s="133"/>
      <c r="K167" s="133"/>
      <c r="L167" s="133"/>
      <c r="M167" s="133"/>
      <c r="N167" s="133"/>
      <c r="O167" s="133"/>
    </row>
    <row r="168" spans="3:15">
      <c r="C168" s="133"/>
      <c r="D168" s="133"/>
      <c r="E168" s="133"/>
      <c r="F168" s="133"/>
      <c r="G168" s="133"/>
      <c r="H168" s="133"/>
      <c r="I168" s="133"/>
      <c r="J168" s="133"/>
      <c r="K168" s="133"/>
      <c r="L168" s="133"/>
      <c r="M168" s="133"/>
      <c r="N168" s="133"/>
      <c r="O168" s="133"/>
    </row>
    <row r="169" spans="3:15">
      <c r="C169" s="133"/>
      <c r="D169" s="133"/>
      <c r="E169" s="133"/>
      <c r="F169" s="133"/>
      <c r="G169" s="133"/>
      <c r="H169" s="133"/>
      <c r="I169" s="133"/>
      <c r="J169" s="133"/>
      <c r="K169" s="133"/>
      <c r="L169" s="133"/>
      <c r="M169" s="133"/>
      <c r="N169" s="133"/>
      <c r="O169" s="133"/>
    </row>
    <row r="170" spans="3:15">
      <c r="C170" s="133"/>
      <c r="D170" s="133"/>
      <c r="E170" s="133"/>
      <c r="F170" s="133"/>
      <c r="G170" s="133"/>
      <c r="H170" s="133"/>
      <c r="I170" s="133"/>
      <c r="J170" s="133"/>
      <c r="K170" s="133"/>
      <c r="L170" s="133"/>
      <c r="M170" s="133"/>
      <c r="N170" s="133"/>
      <c r="O170" s="133"/>
    </row>
    <row r="171" spans="3:15">
      <c r="C171" s="133"/>
      <c r="D171" s="133"/>
      <c r="E171" s="133"/>
      <c r="F171" s="133"/>
      <c r="G171" s="133"/>
      <c r="H171" s="133"/>
      <c r="I171" s="133"/>
      <c r="J171" s="133"/>
      <c r="K171" s="133"/>
      <c r="L171" s="133"/>
      <c r="M171" s="133"/>
      <c r="N171" s="133"/>
      <c r="O171" s="133"/>
    </row>
    <row r="172" spans="3:15">
      <c r="C172" s="133"/>
      <c r="D172" s="133"/>
      <c r="E172" s="133"/>
      <c r="F172" s="133"/>
      <c r="G172" s="133"/>
      <c r="H172" s="133"/>
      <c r="I172" s="133"/>
      <c r="J172" s="133"/>
      <c r="K172" s="133"/>
      <c r="L172" s="133"/>
      <c r="M172" s="133"/>
      <c r="N172" s="133"/>
      <c r="O172" s="133"/>
    </row>
    <row r="173" spans="3:15">
      <c r="C173" s="133"/>
      <c r="D173" s="133"/>
      <c r="E173" s="133"/>
      <c r="F173" s="133"/>
      <c r="G173" s="133"/>
      <c r="H173" s="133"/>
      <c r="I173" s="133"/>
      <c r="J173" s="133"/>
      <c r="K173" s="133"/>
      <c r="L173" s="133"/>
      <c r="M173" s="133"/>
      <c r="N173" s="133"/>
      <c r="O173" s="133"/>
    </row>
    <row r="174" spans="3:15">
      <c r="C174" s="133"/>
      <c r="D174" s="133"/>
      <c r="E174" s="133"/>
      <c r="F174" s="133"/>
      <c r="G174" s="133"/>
      <c r="H174" s="133"/>
      <c r="I174" s="133"/>
      <c r="J174" s="133"/>
      <c r="K174" s="133"/>
      <c r="L174" s="133"/>
      <c r="M174" s="133"/>
      <c r="N174" s="133"/>
      <c r="O174" s="133"/>
    </row>
    <row r="175" spans="3:15">
      <c r="C175" s="133"/>
      <c r="D175" s="133"/>
      <c r="E175" s="133"/>
      <c r="F175" s="133"/>
      <c r="G175" s="133"/>
      <c r="H175" s="133"/>
      <c r="I175" s="133"/>
      <c r="J175" s="133"/>
      <c r="K175" s="133"/>
      <c r="L175" s="133"/>
      <c r="M175" s="133"/>
      <c r="N175" s="133"/>
      <c r="O175" s="133"/>
    </row>
    <row r="176" spans="3:15">
      <c r="C176" s="133"/>
      <c r="D176" s="133"/>
      <c r="E176" s="133"/>
      <c r="F176" s="133"/>
      <c r="G176" s="133"/>
      <c r="H176" s="133"/>
      <c r="I176" s="133"/>
      <c r="J176" s="133"/>
      <c r="K176" s="133"/>
      <c r="L176" s="133"/>
      <c r="M176" s="133"/>
      <c r="N176" s="133"/>
      <c r="O176" s="133"/>
    </row>
    <row r="177" spans="3:15">
      <c r="C177" s="133"/>
      <c r="D177" s="133"/>
      <c r="E177" s="133"/>
      <c r="F177" s="133"/>
      <c r="G177" s="133"/>
      <c r="H177" s="133"/>
      <c r="I177" s="133"/>
      <c r="J177" s="133"/>
      <c r="K177" s="133"/>
      <c r="L177" s="133"/>
      <c r="M177" s="133"/>
      <c r="N177" s="133"/>
      <c r="O177" s="133"/>
    </row>
    <row r="178" spans="3:15">
      <c r="C178" s="133"/>
      <c r="D178" s="133"/>
      <c r="E178" s="133"/>
      <c r="F178" s="133"/>
      <c r="G178" s="133"/>
      <c r="H178" s="133"/>
      <c r="I178" s="133"/>
      <c r="J178" s="133"/>
      <c r="K178" s="133"/>
      <c r="L178" s="133"/>
      <c r="M178" s="133"/>
      <c r="N178" s="133"/>
      <c r="O178" s="133"/>
    </row>
    <row r="179" spans="3:15">
      <c r="C179" s="133"/>
      <c r="D179" s="133"/>
      <c r="E179" s="133"/>
      <c r="F179" s="133"/>
      <c r="G179" s="133"/>
      <c r="H179" s="133"/>
      <c r="I179" s="133"/>
      <c r="J179" s="133"/>
      <c r="K179" s="133"/>
      <c r="L179" s="133"/>
      <c r="M179" s="133"/>
      <c r="N179" s="133"/>
      <c r="O179" s="133"/>
    </row>
    <row r="180" spans="3:15">
      <c r="C180" s="133"/>
      <c r="D180" s="133"/>
      <c r="E180" s="133"/>
      <c r="F180" s="133"/>
      <c r="G180" s="133"/>
      <c r="H180" s="133"/>
      <c r="I180" s="133"/>
      <c r="J180" s="133"/>
      <c r="K180" s="133"/>
      <c r="L180" s="133"/>
      <c r="M180" s="133"/>
      <c r="N180" s="133"/>
      <c r="O180" s="133"/>
    </row>
    <row r="181" spans="3:15">
      <c r="C181" s="133"/>
      <c r="D181" s="133"/>
      <c r="E181" s="133"/>
      <c r="F181" s="133"/>
      <c r="G181" s="133"/>
      <c r="H181" s="133"/>
      <c r="I181" s="133"/>
      <c r="J181" s="133"/>
      <c r="K181" s="133"/>
      <c r="L181" s="133"/>
      <c r="M181" s="133"/>
      <c r="N181" s="133"/>
      <c r="O181" s="133"/>
    </row>
    <row r="182" spans="3:15">
      <c r="C182" s="133"/>
      <c r="D182" s="133"/>
      <c r="E182" s="133"/>
      <c r="F182" s="133"/>
      <c r="G182" s="133"/>
      <c r="H182" s="133"/>
      <c r="I182" s="133"/>
      <c r="J182" s="133"/>
      <c r="K182" s="133"/>
      <c r="L182" s="133"/>
      <c r="M182" s="133"/>
      <c r="N182" s="133"/>
      <c r="O182" s="133"/>
    </row>
    <row r="183" spans="3:15">
      <c r="C183" s="133"/>
      <c r="D183" s="133"/>
      <c r="E183" s="133"/>
      <c r="F183" s="133"/>
      <c r="G183" s="133"/>
      <c r="H183" s="133"/>
      <c r="I183" s="133"/>
      <c r="J183" s="133"/>
      <c r="K183" s="133"/>
      <c r="L183" s="133"/>
      <c r="M183" s="133"/>
      <c r="N183" s="133"/>
      <c r="O183" s="133"/>
    </row>
    <row r="184" spans="3:15">
      <c r="C184" s="133"/>
      <c r="D184" s="133"/>
      <c r="E184" s="133"/>
      <c r="F184" s="133"/>
      <c r="G184" s="133"/>
      <c r="H184" s="133"/>
      <c r="I184" s="133"/>
      <c r="J184" s="133"/>
      <c r="K184" s="133"/>
      <c r="L184" s="133"/>
      <c r="M184" s="133"/>
      <c r="N184" s="133"/>
      <c r="O184" s="133"/>
    </row>
    <row r="185" spans="3:15">
      <c r="C185" s="133"/>
      <c r="D185" s="133"/>
      <c r="E185" s="133"/>
      <c r="F185" s="133"/>
      <c r="G185" s="133"/>
      <c r="H185" s="133"/>
      <c r="I185" s="133"/>
      <c r="J185" s="133"/>
      <c r="K185" s="133"/>
      <c r="L185" s="133"/>
      <c r="M185" s="133"/>
      <c r="N185" s="133"/>
      <c r="O185" s="133"/>
    </row>
    <row r="186" spans="3:15">
      <c r="C186" s="133"/>
      <c r="D186" s="133"/>
      <c r="E186" s="133"/>
      <c r="F186" s="133"/>
      <c r="G186" s="133"/>
      <c r="H186" s="133"/>
      <c r="I186" s="133"/>
      <c r="J186" s="133"/>
      <c r="K186" s="133"/>
      <c r="L186" s="133"/>
      <c r="M186" s="133"/>
      <c r="N186" s="133"/>
      <c r="O186" s="133"/>
    </row>
    <row r="187" spans="3:15">
      <c r="C187" s="133"/>
      <c r="D187" s="133"/>
      <c r="E187" s="133"/>
      <c r="F187" s="133"/>
      <c r="G187" s="133"/>
      <c r="H187" s="133"/>
      <c r="I187" s="133"/>
      <c r="J187" s="133"/>
      <c r="K187" s="133"/>
      <c r="L187" s="133"/>
      <c r="M187" s="133"/>
      <c r="N187" s="133"/>
      <c r="O187" s="133"/>
    </row>
    <row r="188" spans="3:15">
      <c r="C188" s="133"/>
      <c r="D188" s="133"/>
      <c r="E188" s="133"/>
      <c r="F188" s="133"/>
      <c r="G188" s="133"/>
      <c r="H188" s="133"/>
      <c r="I188" s="133"/>
      <c r="J188" s="133"/>
      <c r="K188" s="133"/>
      <c r="L188" s="133"/>
      <c r="M188" s="133"/>
      <c r="N188" s="133"/>
      <c r="O188" s="133"/>
    </row>
    <row r="189" spans="3:15">
      <c r="C189" s="133"/>
      <c r="D189" s="133"/>
      <c r="E189" s="133"/>
      <c r="F189" s="133"/>
      <c r="G189" s="133"/>
      <c r="H189" s="133"/>
      <c r="I189" s="133"/>
      <c r="J189" s="133"/>
      <c r="K189" s="133"/>
      <c r="L189" s="133"/>
      <c r="M189" s="133"/>
      <c r="N189" s="133"/>
      <c r="O189" s="133"/>
    </row>
    <row r="190" spans="3:15">
      <c r="C190" s="133"/>
      <c r="D190" s="133"/>
      <c r="E190" s="133"/>
      <c r="F190" s="133"/>
      <c r="G190" s="133"/>
      <c r="H190" s="133"/>
      <c r="I190" s="133"/>
      <c r="J190" s="133"/>
      <c r="K190" s="133"/>
      <c r="L190" s="133"/>
      <c r="M190" s="133"/>
      <c r="N190" s="133"/>
      <c r="O190" s="133"/>
    </row>
    <row r="191" spans="3:15">
      <c r="C191" s="133"/>
      <c r="D191" s="133"/>
      <c r="E191" s="133"/>
      <c r="F191" s="133"/>
      <c r="G191" s="133"/>
      <c r="H191" s="133"/>
      <c r="I191" s="133"/>
      <c r="J191" s="133"/>
      <c r="K191" s="133"/>
      <c r="L191" s="133"/>
      <c r="M191" s="133"/>
      <c r="N191" s="133"/>
      <c r="O191" s="133"/>
    </row>
    <row r="192" spans="3:15">
      <c r="C192" s="133"/>
      <c r="D192" s="133"/>
      <c r="E192" s="133"/>
      <c r="F192" s="133"/>
      <c r="G192" s="133"/>
      <c r="H192" s="133"/>
      <c r="I192" s="133"/>
      <c r="J192" s="133"/>
      <c r="K192" s="133"/>
      <c r="L192" s="133"/>
      <c r="M192" s="133"/>
      <c r="N192" s="133"/>
      <c r="O192" s="133"/>
    </row>
    <row r="193" spans="3:15">
      <c r="C193" s="133"/>
      <c r="D193" s="133"/>
      <c r="E193" s="133"/>
      <c r="F193" s="133"/>
      <c r="G193" s="133"/>
      <c r="H193" s="133"/>
      <c r="I193" s="133"/>
      <c r="J193" s="133"/>
      <c r="K193" s="133"/>
      <c r="L193" s="133"/>
      <c r="M193" s="133"/>
      <c r="N193" s="133"/>
      <c r="O193" s="133"/>
    </row>
    <row r="194" spans="3:15">
      <c r="C194" s="133"/>
      <c r="D194" s="133"/>
      <c r="E194" s="133"/>
      <c r="F194" s="133"/>
      <c r="G194" s="133"/>
      <c r="H194" s="133"/>
      <c r="I194" s="133"/>
      <c r="J194" s="133"/>
      <c r="K194" s="133"/>
      <c r="L194" s="133"/>
      <c r="M194" s="133"/>
      <c r="N194" s="133"/>
      <c r="O194" s="133"/>
    </row>
    <row r="195" spans="3:15">
      <c r="C195" s="133"/>
      <c r="D195" s="133"/>
      <c r="E195" s="133"/>
      <c r="F195" s="133"/>
      <c r="G195" s="133"/>
      <c r="H195" s="133"/>
      <c r="I195" s="133"/>
      <c r="J195" s="133"/>
      <c r="K195" s="133"/>
      <c r="L195" s="133"/>
      <c r="M195" s="133"/>
      <c r="N195" s="133"/>
      <c r="O195" s="133"/>
    </row>
    <row r="196" spans="3:15">
      <c r="C196" s="133"/>
      <c r="D196" s="133"/>
      <c r="E196" s="133"/>
      <c r="F196" s="133"/>
      <c r="G196" s="133"/>
      <c r="H196" s="133"/>
      <c r="I196" s="133"/>
      <c r="J196" s="133"/>
      <c r="K196" s="133"/>
      <c r="L196" s="133"/>
      <c r="M196" s="133"/>
      <c r="N196" s="133"/>
      <c r="O196" s="133"/>
    </row>
    <row r="197" spans="3:15">
      <c r="C197" s="133"/>
      <c r="D197" s="133"/>
      <c r="E197" s="133"/>
      <c r="F197" s="133"/>
      <c r="G197" s="133"/>
      <c r="H197" s="133"/>
      <c r="I197" s="133"/>
      <c r="J197" s="133"/>
      <c r="K197" s="133"/>
      <c r="L197" s="133"/>
      <c r="M197" s="133"/>
      <c r="N197" s="133"/>
      <c r="O197" s="133"/>
    </row>
    <row r="198" spans="3:15">
      <c r="C198" s="133"/>
      <c r="D198" s="133"/>
      <c r="E198" s="133"/>
      <c r="F198" s="133"/>
      <c r="G198" s="133"/>
      <c r="H198" s="133"/>
      <c r="I198" s="133"/>
      <c r="J198" s="133"/>
      <c r="K198" s="133"/>
      <c r="L198" s="133"/>
      <c r="M198" s="133"/>
      <c r="N198" s="133"/>
      <c r="O198" s="133"/>
    </row>
    <row r="199" spans="3:15">
      <c r="C199" s="133"/>
      <c r="D199" s="133"/>
      <c r="E199" s="133"/>
      <c r="F199" s="133"/>
      <c r="G199" s="133"/>
      <c r="H199" s="133"/>
      <c r="I199" s="133"/>
      <c r="J199" s="133"/>
      <c r="K199" s="133"/>
      <c r="L199" s="133"/>
      <c r="M199" s="133"/>
      <c r="N199" s="133"/>
      <c r="O199" s="133"/>
    </row>
    <row r="200" spans="3:15">
      <c r="C200" s="133"/>
      <c r="D200" s="133"/>
      <c r="E200" s="133"/>
      <c r="F200" s="133"/>
      <c r="G200" s="133"/>
      <c r="H200" s="133"/>
      <c r="I200" s="133"/>
      <c r="J200" s="133"/>
      <c r="K200" s="133"/>
      <c r="L200" s="133"/>
      <c r="M200" s="133"/>
      <c r="N200" s="133"/>
      <c r="O200" s="133"/>
    </row>
    <row r="201" spans="3:15">
      <c r="C201" s="133"/>
      <c r="D201" s="133"/>
      <c r="E201" s="133"/>
      <c r="F201" s="133"/>
      <c r="G201" s="133"/>
      <c r="H201" s="133"/>
      <c r="I201" s="133"/>
      <c r="J201" s="133"/>
      <c r="K201" s="133"/>
      <c r="L201" s="133"/>
      <c r="M201" s="133"/>
      <c r="N201" s="133"/>
      <c r="O201" s="133"/>
    </row>
    <row r="202" spans="3:15">
      <c r="C202" s="133"/>
      <c r="D202" s="133"/>
      <c r="E202" s="133"/>
      <c r="F202" s="133"/>
      <c r="G202" s="133"/>
      <c r="H202" s="133"/>
      <c r="I202" s="133"/>
      <c r="J202" s="133"/>
      <c r="K202" s="133"/>
      <c r="L202" s="133"/>
      <c r="M202" s="133"/>
      <c r="N202" s="133"/>
      <c r="O202" s="133"/>
    </row>
    <row r="203" spans="3:15">
      <c r="C203" s="133"/>
      <c r="D203" s="133"/>
      <c r="E203" s="133"/>
      <c r="F203" s="133"/>
      <c r="G203" s="133"/>
      <c r="H203" s="133"/>
      <c r="I203" s="133"/>
      <c r="J203" s="133"/>
      <c r="K203" s="133"/>
      <c r="L203" s="133"/>
      <c r="M203" s="133"/>
      <c r="N203" s="133"/>
      <c r="O203" s="133"/>
    </row>
    <row r="204" spans="3:15">
      <c r="C204" s="133"/>
      <c r="D204" s="133"/>
      <c r="E204" s="133"/>
      <c r="F204" s="133"/>
      <c r="G204" s="133"/>
      <c r="H204" s="133"/>
      <c r="I204" s="133"/>
      <c r="J204" s="133"/>
      <c r="K204" s="133"/>
      <c r="L204" s="133"/>
      <c r="M204" s="133"/>
      <c r="N204" s="133"/>
      <c r="O204" s="133"/>
    </row>
    <row r="205" spans="3:15">
      <c r="C205" s="133"/>
      <c r="D205" s="133"/>
      <c r="E205" s="133"/>
      <c r="F205" s="133"/>
      <c r="G205" s="133"/>
      <c r="H205" s="133"/>
      <c r="I205" s="133"/>
      <c r="J205" s="133"/>
      <c r="K205" s="133"/>
      <c r="L205" s="133"/>
      <c r="M205" s="133"/>
      <c r="N205" s="133"/>
      <c r="O205" s="133"/>
    </row>
    <row r="206" spans="3:15">
      <c r="C206" s="133"/>
      <c r="D206" s="133"/>
      <c r="E206" s="133"/>
      <c r="F206" s="133"/>
      <c r="G206" s="133"/>
      <c r="H206" s="133"/>
      <c r="I206" s="133"/>
      <c r="J206" s="133"/>
      <c r="K206" s="133"/>
      <c r="L206" s="133"/>
      <c r="M206" s="133"/>
      <c r="N206" s="133"/>
      <c r="O206" s="133"/>
    </row>
    <row r="207" spans="3:15">
      <c r="C207" s="133"/>
      <c r="D207" s="133"/>
      <c r="E207" s="133"/>
      <c r="F207" s="133"/>
      <c r="G207" s="133"/>
      <c r="H207" s="133"/>
      <c r="I207" s="133"/>
      <c r="J207" s="133"/>
      <c r="K207" s="133"/>
      <c r="L207" s="133"/>
      <c r="M207" s="133"/>
      <c r="N207" s="133"/>
      <c r="O207" s="133"/>
    </row>
    <row r="208" spans="3:15">
      <c r="C208" s="133"/>
      <c r="D208" s="133"/>
      <c r="E208" s="133"/>
      <c r="F208" s="133"/>
      <c r="G208" s="133"/>
      <c r="H208" s="133"/>
      <c r="I208" s="133"/>
      <c r="J208" s="133"/>
      <c r="K208" s="133"/>
      <c r="L208" s="133"/>
      <c r="M208" s="133"/>
      <c r="N208" s="133"/>
      <c r="O208" s="133"/>
    </row>
    <row r="209" spans="3:15">
      <c r="C209" s="133"/>
      <c r="D209" s="133"/>
      <c r="E209" s="133"/>
      <c r="F209" s="133"/>
      <c r="G209" s="133"/>
      <c r="H209" s="133"/>
      <c r="I209" s="133"/>
      <c r="J209" s="133"/>
      <c r="K209" s="133"/>
      <c r="L209" s="133"/>
      <c r="M209" s="133"/>
      <c r="N209" s="133"/>
      <c r="O209" s="133"/>
    </row>
    <row r="210" spans="3:15">
      <c r="C210" s="133"/>
      <c r="D210" s="133"/>
      <c r="E210" s="133"/>
      <c r="F210" s="133"/>
      <c r="G210" s="133"/>
      <c r="H210" s="133"/>
      <c r="I210" s="133"/>
      <c r="J210" s="133"/>
      <c r="K210" s="133"/>
      <c r="L210" s="133"/>
      <c r="M210" s="133"/>
      <c r="N210" s="133"/>
      <c r="O210" s="133"/>
    </row>
    <row r="211" spans="3:15">
      <c r="C211" s="133"/>
      <c r="D211" s="133"/>
      <c r="E211" s="133"/>
      <c r="F211" s="133"/>
      <c r="G211" s="133"/>
      <c r="H211" s="133"/>
      <c r="I211" s="133"/>
      <c r="J211" s="133"/>
      <c r="K211" s="133"/>
      <c r="L211" s="133"/>
      <c r="M211" s="133"/>
      <c r="N211" s="133"/>
      <c r="O211" s="133"/>
    </row>
    <row r="212" spans="3:15">
      <c r="C212" s="133"/>
      <c r="D212" s="133"/>
      <c r="E212" s="133"/>
      <c r="F212" s="133"/>
      <c r="G212" s="133"/>
      <c r="H212" s="133"/>
      <c r="I212" s="133"/>
      <c r="J212" s="133"/>
      <c r="K212" s="133"/>
      <c r="L212" s="133"/>
      <c r="M212" s="133"/>
      <c r="N212" s="133"/>
      <c r="O212" s="133"/>
    </row>
    <row r="213" spans="3:15">
      <c r="C213" s="133"/>
      <c r="D213" s="133"/>
      <c r="E213" s="133"/>
      <c r="F213" s="133"/>
      <c r="G213" s="133"/>
      <c r="H213" s="133"/>
      <c r="I213" s="133"/>
      <c r="J213" s="133"/>
      <c r="K213" s="133"/>
      <c r="L213" s="133"/>
      <c r="M213" s="133"/>
      <c r="N213" s="133"/>
      <c r="O213" s="133"/>
    </row>
    <row r="214" spans="3:15">
      <c r="C214" s="133"/>
      <c r="D214" s="133"/>
      <c r="E214" s="133"/>
      <c r="F214" s="133"/>
      <c r="G214" s="133"/>
      <c r="H214" s="133"/>
      <c r="I214" s="133"/>
      <c r="J214" s="133"/>
      <c r="K214" s="133"/>
      <c r="L214" s="133"/>
      <c r="M214" s="133"/>
      <c r="N214" s="133"/>
      <c r="O214" s="133"/>
    </row>
    <row r="215" spans="3:15">
      <c r="C215" s="133"/>
      <c r="D215" s="133"/>
      <c r="E215" s="133"/>
      <c r="F215" s="133"/>
      <c r="G215" s="133"/>
      <c r="H215" s="133"/>
      <c r="I215" s="133"/>
      <c r="J215" s="133"/>
      <c r="K215" s="133"/>
      <c r="L215" s="133"/>
      <c r="M215" s="133"/>
      <c r="N215" s="133"/>
      <c r="O215" s="133"/>
    </row>
    <row r="216" spans="3:15">
      <c r="C216" s="133"/>
      <c r="D216" s="133"/>
      <c r="E216" s="133"/>
      <c r="F216" s="133"/>
      <c r="G216" s="133"/>
      <c r="H216" s="133"/>
      <c r="I216" s="133"/>
      <c r="J216" s="133"/>
      <c r="K216" s="133"/>
      <c r="L216" s="133"/>
      <c r="M216" s="133"/>
      <c r="N216" s="133"/>
      <c r="O216" s="133"/>
    </row>
    <row r="217" spans="3:15">
      <c r="C217" s="133"/>
      <c r="D217" s="133"/>
      <c r="E217" s="133"/>
      <c r="F217" s="133"/>
      <c r="G217" s="133"/>
      <c r="H217" s="133"/>
      <c r="I217" s="133"/>
      <c r="J217" s="133"/>
      <c r="K217" s="133"/>
      <c r="L217" s="133"/>
      <c r="M217" s="133"/>
      <c r="N217" s="133"/>
      <c r="O217" s="133"/>
    </row>
    <row r="218" spans="3:15">
      <c r="C218" s="133"/>
      <c r="D218" s="133"/>
      <c r="E218" s="133"/>
      <c r="F218" s="133"/>
      <c r="G218" s="133"/>
      <c r="H218" s="133"/>
      <c r="I218" s="133"/>
      <c r="J218" s="133"/>
      <c r="K218" s="133"/>
      <c r="L218" s="133"/>
      <c r="M218" s="133"/>
      <c r="N218" s="133"/>
      <c r="O218" s="133"/>
    </row>
    <row r="219" spans="3:15">
      <c r="C219" s="133"/>
      <c r="D219" s="133"/>
      <c r="E219" s="133"/>
      <c r="F219" s="133"/>
      <c r="G219" s="133"/>
      <c r="H219" s="133"/>
      <c r="I219" s="133"/>
      <c r="J219" s="133"/>
      <c r="K219" s="133"/>
      <c r="L219" s="133"/>
      <c r="M219" s="133"/>
      <c r="N219" s="133"/>
      <c r="O219" s="133"/>
    </row>
    <row r="220" spans="3:15">
      <c r="C220" s="133"/>
      <c r="D220" s="133"/>
      <c r="E220" s="133"/>
      <c r="F220" s="133"/>
      <c r="G220" s="133"/>
      <c r="H220" s="133"/>
      <c r="I220" s="133"/>
      <c r="J220" s="133"/>
      <c r="K220" s="133"/>
      <c r="L220" s="133"/>
      <c r="M220" s="133"/>
      <c r="N220" s="133"/>
      <c r="O220" s="133"/>
    </row>
    <row r="221" spans="3:15">
      <c r="C221" s="133"/>
      <c r="D221" s="133"/>
      <c r="E221" s="133"/>
      <c r="F221" s="133"/>
      <c r="G221" s="133"/>
      <c r="H221" s="133"/>
      <c r="I221" s="133"/>
      <c r="J221" s="133"/>
      <c r="K221" s="133"/>
      <c r="L221" s="133"/>
      <c r="M221" s="133"/>
      <c r="N221" s="133"/>
      <c r="O221" s="133"/>
    </row>
    <row r="222" spans="3:15">
      <c r="C222" s="133"/>
      <c r="D222" s="133"/>
      <c r="E222" s="133"/>
      <c r="F222" s="133"/>
      <c r="G222" s="133"/>
      <c r="H222" s="133"/>
      <c r="I222" s="133"/>
      <c r="J222" s="133"/>
      <c r="K222" s="133"/>
      <c r="L222" s="133"/>
      <c r="M222" s="133"/>
      <c r="N222" s="133"/>
      <c r="O222" s="133"/>
    </row>
    <row r="223" spans="3:15">
      <c r="C223" s="133"/>
      <c r="D223" s="133"/>
      <c r="E223" s="133"/>
      <c r="F223" s="133"/>
      <c r="G223" s="133"/>
      <c r="H223" s="133"/>
      <c r="I223" s="133"/>
      <c r="J223" s="133"/>
      <c r="K223" s="133"/>
      <c r="L223" s="133"/>
      <c r="M223" s="133"/>
      <c r="N223" s="133"/>
      <c r="O223" s="133"/>
    </row>
    <row r="224" spans="3:15">
      <c r="C224" s="133"/>
      <c r="D224" s="133"/>
      <c r="E224" s="133"/>
      <c r="F224" s="133"/>
      <c r="G224" s="133"/>
      <c r="H224" s="133"/>
      <c r="I224" s="133"/>
      <c r="J224" s="133"/>
      <c r="K224" s="133"/>
      <c r="L224" s="133"/>
      <c r="M224" s="133"/>
      <c r="N224" s="133"/>
      <c r="O224" s="133"/>
    </row>
    <row r="225" spans="3:15">
      <c r="C225" s="133"/>
      <c r="D225" s="133"/>
      <c r="E225" s="133"/>
      <c r="F225" s="133"/>
      <c r="G225" s="133"/>
      <c r="H225" s="133"/>
      <c r="I225" s="133"/>
      <c r="J225" s="133"/>
      <c r="K225" s="133"/>
      <c r="L225" s="133"/>
      <c r="M225" s="133"/>
      <c r="N225" s="133"/>
      <c r="O225" s="133"/>
    </row>
    <row r="226" spans="3:15">
      <c r="C226" s="133"/>
      <c r="D226" s="133"/>
      <c r="E226" s="133"/>
      <c r="F226" s="133"/>
      <c r="G226" s="133"/>
      <c r="H226" s="133"/>
      <c r="I226" s="133"/>
      <c r="J226" s="133"/>
      <c r="K226" s="133"/>
      <c r="L226" s="133"/>
      <c r="M226" s="133"/>
      <c r="N226" s="133"/>
      <c r="O226" s="133"/>
    </row>
    <row r="227" spans="3:15">
      <c r="C227" s="133"/>
      <c r="D227" s="133"/>
      <c r="E227" s="133"/>
      <c r="F227" s="133"/>
      <c r="G227" s="133"/>
      <c r="H227" s="133"/>
      <c r="I227" s="133"/>
      <c r="J227" s="133"/>
      <c r="K227" s="133"/>
      <c r="L227" s="133"/>
      <c r="M227" s="133"/>
      <c r="N227" s="133"/>
      <c r="O227" s="133"/>
    </row>
    <row r="228" spans="3:15">
      <c r="C228" s="133"/>
      <c r="D228" s="133"/>
      <c r="E228" s="133"/>
      <c r="F228" s="133"/>
      <c r="G228" s="133"/>
      <c r="H228" s="133"/>
      <c r="I228" s="133"/>
      <c r="J228" s="133"/>
      <c r="K228" s="133"/>
      <c r="L228" s="133"/>
      <c r="M228" s="133"/>
      <c r="N228" s="133"/>
      <c r="O228" s="133"/>
    </row>
    <row r="229" spans="3:15">
      <c r="C229" s="133"/>
      <c r="D229" s="133"/>
      <c r="E229" s="133"/>
      <c r="F229" s="133"/>
      <c r="G229" s="133"/>
      <c r="H229" s="133"/>
      <c r="I229" s="133"/>
      <c r="J229" s="133"/>
      <c r="K229" s="133"/>
      <c r="L229" s="133"/>
      <c r="M229" s="133"/>
      <c r="N229" s="133"/>
      <c r="O229" s="133"/>
    </row>
    <row r="230" spans="3:15">
      <c r="C230" s="133"/>
      <c r="D230" s="133"/>
      <c r="E230" s="133"/>
      <c r="F230" s="133"/>
      <c r="G230" s="133"/>
      <c r="H230" s="133"/>
      <c r="I230" s="133"/>
      <c r="J230" s="133"/>
      <c r="K230" s="133"/>
      <c r="L230" s="133"/>
      <c r="M230" s="133"/>
      <c r="N230" s="133"/>
      <c r="O230" s="133"/>
    </row>
    <row r="231" spans="3:15">
      <c r="C231" s="133"/>
      <c r="D231" s="133"/>
      <c r="E231" s="133"/>
      <c r="F231" s="133"/>
      <c r="G231" s="133"/>
      <c r="H231" s="133"/>
      <c r="I231" s="133"/>
      <c r="J231" s="133"/>
      <c r="K231" s="133"/>
      <c r="L231" s="133"/>
      <c r="M231" s="133"/>
      <c r="N231" s="133"/>
      <c r="O231" s="133"/>
    </row>
    <row r="232" spans="3:15">
      <c r="C232" s="133"/>
      <c r="D232" s="133"/>
      <c r="E232" s="133"/>
      <c r="F232" s="133"/>
      <c r="G232" s="133"/>
      <c r="H232" s="133"/>
      <c r="I232" s="133"/>
      <c r="J232" s="133"/>
      <c r="K232" s="133"/>
      <c r="L232" s="133"/>
      <c r="M232" s="133"/>
      <c r="N232" s="133"/>
      <c r="O232" s="133"/>
    </row>
    <row r="233" spans="3:15">
      <c r="C233" s="133"/>
      <c r="D233" s="133"/>
      <c r="E233" s="133"/>
      <c r="F233" s="133"/>
      <c r="G233" s="133"/>
      <c r="H233" s="133"/>
      <c r="I233" s="133"/>
      <c r="J233" s="133"/>
      <c r="K233" s="133"/>
      <c r="L233" s="133"/>
      <c r="M233" s="133"/>
      <c r="N233" s="133"/>
      <c r="O233" s="133"/>
    </row>
    <row r="234" spans="3:15">
      <c r="C234" s="133"/>
      <c r="D234" s="133"/>
      <c r="E234" s="133"/>
      <c r="F234" s="133"/>
      <c r="G234" s="133"/>
      <c r="H234" s="133"/>
      <c r="I234" s="133"/>
      <c r="J234" s="133"/>
      <c r="K234" s="133"/>
      <c r="L234" s="133"/>
      <c r="M234" s="133"/>
      <c r="N234" s="133"/>
      <c r="O234" s="133"/>
    </row>
    <row r="235" spans="3:15">
      <c r="C235" s="133"/>
      <c r="D235" s="133"/>
      <c r="E235" s="133"/>
      <c r="F235" s="133"/>
      <c r="G235" s="133"/>
      <c r="H235" s="133"/>
      <c r="I235" s="133"/>
      <c r="J235" s="133"/>
      <c r="K235" s="133"/>
      <c r="L235" s="133"/>
      <c r="M235" s="133"/>
      <c r="N235" s="133"/>
      <c r="O235" s="133"/>
    </row>
    <row r="236" spans="3:15">
      <c r="C236" s="133"/>
      <c r="D236" s="133"/>
      <c r="E236" s="133"/>
      <c r="F236" s="133"/>
      <c r="G236" s="133"/>
      <c r="H236" s="133"/>
      <c r="I236" s="133"/>
      <c r="J236" s="133"/>
      <c r="K236" s="133"/>
      <c r="L236" s="133"/>
      <c r="M236" s="133"/>
      <c r="N236" s="133"/>
      <c r="O236" s="133"/>
    </row>
    <row r="237" spans="3:15">
      <c r="C237" s="133"/>
      <c r="D237" s="133"/>
      <c r="E237" s="133"/>
      <c r="F237" s="133"/>
      <c r="G237" s="133"/>
      <c r="H237" s="133"/>
      <c r="I237" s="133"/>
      <c r="J237" s="133"/>
      <c r="K237" s="133"/>
      <c r="L237" s="133"/>
      <c r="M237" s="133"/>
      <c r="N237" s="133"/>
      <c r="O237" s="133"/>
    </row>
    <row r="238" spans="3:15">
      <c r="C238" s="133"/>
      <c r="D238" s="133"/>
      <c r="E238" s="133"/>
      <c r="F238" s="133"/>
      <c r="G238" s="133"/>
      <c r="H238" s="133"/>
      <c r="I238" s="133"/>
      <c r="J238" s="133"/>
      <c r="K238" s="133"/>
      <c r="L238" s="133"/>
      <c r="M238" s="133"/>
      <c r="N238" s="133"/>
      <c r="O238" s="133"/>
    </row>
    <row r="239" spans="3:15">
      <c r="C239" s="133"/>
      <c r="D239" s="133"/>
      <c r="E239" s="133"/>
      <c r="F239" s="133"/>
      <c r="G239" s="133"/>
      <c r="H239" s="133"/>
      <c r="I239" s="133"/>
      <c r="J239" s="133"/>
      <c r="K239" s="133"/>
      <c r="L239" s="133"/>
      <c r="M239" s="133"/>
      <c r="N239" s="133"/>
      <c r="O239" s="133"/>
    </row>
    <row r="240" spans="3:15">
      <c r="C240" s="133"/>
      <c r="D240" s="133"/>
      <c r="E240" s="133"/>
      <c r="F240" s="133"/>
      <c r="G240" s="133"/>
      <c r="H240" s="133"/>
      <c r="I240" s="133"/>
      <c r="J240" s="133"/>
      <c r="K240" s="133"/>
      <c r="L240" s="133"/>
      <c r="M240" s="133"/>
      <c r="N240" s="133"/>
      <c r="O240" s="133"/>
    </row>
    <row r="241" spans="3:15">
      <c r="C241" s="133"/>
      <c r="D241" s="133"/>
      <c r="E241" s="133"/>
      <c r="F241" s="133"/>
      <c r="G241" s="133"/>
      <c r="H241" s="133"/>
      <c r="I241" s="133"/>
      <c r="J241" s="133"/>
      <c r="K241" s="133"/>
      <c r="L241" s="133"/>
      <c r="M241" s="133"/>
      <c r="N241" s="133"/>
      <c r="O241" s="133"/>
    </row>
    <row r="242" spans="3:15">
      <c r="C242" s="133"/>
      <c r="D242" s="133"/>
      <c r="E242" s="133"/>
      <c r="F242" s="133"/>
      <c r="G242" s="133"/>
      <c r="H242" s="133"/>
      <c r="I242" s="133"/>
      <c r="J242" s="133"/>
      <c r="K242" s="133"/>
      <c r="L242" s="133"/>
      <c r="M242" s="133"/>
      <c r="N242" s="133"/>
      <c r="O242" s="133"/>
    </row>
    <row r="243" spans="3:15">
      <c r="C243" s="133"/>
      <c r="D243" s="133"/>
      <c r="E243" s="133"/>
      <c r="F243" s="133"/>
      <c r="G243" s="133"/>
      <c r="H243" s="133"/>
      <c r="I243" s="133"/>
      <c r="J243" s="133"/>
      <c r="K243" s="133"/>
      <c r="L243" s="133"/>
      <c r="M243" s="133"/>
      <c r="N243" s="133"/>
      <c r="O243" s="133"/>
    </row>
    <row r="244" spans="3:15">
      <c r="C244" s="133"/>
      <c r="D244" s="133"/>
      <c r="E244" s="133"/>
      <c r="F244" s="133"/>
      <c r="G244" s="133"/>
      <c r="H244" s="133"/>
      <c r="I244" s="133"/>
      <c r="J244" s="133"/>
      <c r="K244" s="133"/>
      <c r="L244" s="133"/>
      <c r="M244" s="133"/>
      <c r="N244" s="133"/>
      <c r="O244" s="133"/>
    </row>
    <row r="245" spans="3:15">
      <c r="C245" s="133"/>
      <c r="D245" s="133"/>
      <c r="E245" s="133"/>
      <c r="F245" s="133"/>
      <c r="G245" s="133"/>
      <c r="H245" s="133"/>
      <c r="I245" s="133"/>
      <c r="J245" s="133"/>
      <c r="K245" s="133"/>
      <c r="L245" s="133"/>
      <c r="M245" s="133"/>
      <c r="N245" s="133"/>
      <c r="O245" s="133"/>
    </row>
    <row r="246" spans="3:15">
      <c r="C246" s="133"/>
      <c r="D246" s="133"/>
      <c r="E246" s="133"/>
      <c r="F246" s="133"/>
      <c r="G246" s="133"/>
      <c r="H246" s="133"/>
      <c r="I246" s="133"/>
      <c r="J246" s="133"/>
      <c r="K246" s="133"/>
      <c r="L246" s="133"/>
      <c r="M246" s="133"/>
      <c r="N246" s="133"/>
      <c r="O246" s="133"/>
    </row>
    <row r="247" spans="3:15">
      <c r="C247" s="133"/>
      <c r="D247" s="133"/>
      <c r="E247" s="133"/>
      <c r="F247" s="133"/>
      <c r="G247" s="133"/>
      <c r="H247" s="133"/>
      <c r="I247" s="133"/>
      <c r="J247" s="133"/>
      <c r="K247" s="133"/>
      <c r="L247" s="133"/>
      <c r="M247" s="133"/>
      <c r="N247" s="133"/>
      <c r="O247" s="133"/>
    </row>
    <row r="248" spans="3:15">
      <c r="C248" s="133"/>
      <c r="D248" s="133"/>
      <c r="E248" s="133"/>
      <c r="F248" s="133"/>
      <c r="G248" s="133"/>
      <c r="H248" s="133"/>
      <c r="I248" s="133"/>
      <c r="J248" s="133"/>
      <c r="K248" s="133"/>
      <c r="L248" s="133"/>
      <c r="M248" s="133"/>
      <c r="N248" s="133"/>
      <c r="O248" s="133"/>
    </row>
    <row r="249" spans="3:15">
      <c r="C249" s="133"/>
      <c r="D249" s="133"/>
      <c r="E249" s="133"/>
      <c r="F249" s="133"/>
      <c r="G249" s="133"/>
      <c r="H249" s="133"/>
      <c r="I249" s="133"/>
      <c r="J249" s="133"/>
      <c r="K249" s="133"/>
      <c r="L249" s="133"/>
      <c r="M249" s="133"/>
      <c r="N249" s="133"/>
      <c r="O249" s="133"/>
    </row>
    <row r="250" spans="3:15">
      <c r="C250" s="133"/>
      <c r="D250" s="133"/>
      <c r="E250" s="133"/>
      <c r="F250" s="133"/>
      <c r="G250" s="133"/>
      <c r="H250" s="133"/>
      <c r="I250" s="133"/>
      <c r="J250" s="133"/>
      <c r="K250" s="133"/>
      <c r="L250" s="133"/>
      <c r="M250" s="133"/>
      <c r="N250" s="133"/>
      <c r="O250" s="133"/>
    </row>
    <row r="251" spans="3:15">
      <c r="C251" s="133"/>
      <c r="D251" s="133"/>
      <c r="E251" s="133"/>
      <c r="F251" s="133"/>
      <c r="G251" s="133"/>
      <c r="H251" s="133"/>
      <c r="I251" s="133"/>
      <c r="J251" s="133"/>
      <c r="K251" s="133"/>
      <c r="L251" s="133"/>
      <c r="M251" s="133"/>
      <c r="N251" s="133"/>
      <c r="O251" s="133"/>
    </row>
    <row r="252" spans="3:15">
      <c r="C252" s="133"/>
      <c r="D252" s="133"/>
      <c r="E252" s="133"/>
      <c r="F252" s="133"/>
      <c r="G252" s="133"/>
      <c r="H252" s="133"/>
      <c r="I252" s="133"/>
      <c r="J252" s="133"/>
      <c r="K252" s="133"/>
      <c r="L252" s="133"/>
      <c r="M252" s="133"/>
      <c r="N252" s="133"/>
      <c r="O252" s="133"/>
    </row>
    <row r="253" spans="3:15">
      <c r="C253" s="133"/>
      <c r="D253" s="133"/>
      <c r="E253" s="133"/>
      <c r="F253" s="133"/>
      <c r="G253" s="133"/>
      <c r="H253" s="133"/>
      <c r="I253" s="133"/>
      <c r="J253" s="133"/>
      <c r="K253" s="133"/>
      <c r="L253" s="133"/>
      <c r="M253" s="133"/>
      <c r="N253" s="133"/>
      <c r="O253" s="133"/>
    </row>
    <row r="254" spans="3:15">
      <c r="C254" s="133"/>
      <c r="D254" s="133"/>
      <c r="E254" s="133"/>
      <c r="F254" s="133"/>
      <c r="G254" s="133"/>
      <c r="H254" s="133"/>
      <c r="I254" s="133"/>
      <c r="J254" s="133"/>
      <c r="K254" s="133"/>
      <c r="L254" s="133"/>
      <c r="M254" s="133"/>
      <c r="N254" s="133"/>
      <c r="O254" s="133"/>
    </row>
    <row r="255" spans="3:15">
      <c r="C255" s="133"/>
      <c r="D255" s="133"/>
      <c r="E255" s="133"/>
      <c r="F255" s="133"/>
      <c r="G255" s="133"/>
      <c r="H255" s="133"/>
      <c r="I255" s="133"/>
      <c r="J255" s="133"/>
      <c r="K255" s="133"/>
      <c r="L255" s="133"/>
      <c r="M255" s="133"/>
      <c r="N255" s="133"/>
      <c r="O255" s="133"/>
    </row>
    <row r="256" spans="3:15">
      <c r="C256" s="133"/>
      <c r="D256" s="133"/>
      <c r="E256" s="133"/>
      <c r="F256" s="133"/>
      <c r="G256" s="133"/>
      <c r="H256" s="133"/>
      <c r="I256" s="133"/>
      <c r="J256" s="133"/>
      <c r="K256" s="133"/>
      <c r="L256" s="133"/>
      <c r="M256" s="133"/>
      <c r="N256" s="133"/>
      <c r="O256" s="133"/>
    </row>
    <row r="257" spans="3:15">
      <c r="C257" s="133"/>
      <c r="D257" s="133"/>
      <c r="E257" s="133"/>
      <c r="F257" s="133"/>
      <c r="G257" s="133"/>
      <c r="H257" s="133"/>
      <c r="I257" s="133"/>
      <c r="J257" s="133"/>
      <c r="K257" s="133"/>
      <c r="L257" s="133"/>
      <c r="M257" s="133"/>
      <c r="N257" s="133"/>
      <c r="O257" s="133"/>
    </row>
    <row r="258" spans="3:15">
      <c r="C258" s="133"/>
      <c r="D258" s="133"/>
      <c r="E258" s="133"/>
      <c r="F258" s="133"/>
      <c r="G258" s="133"/>
      <c r="H258" s="133"/>
      <c r="I258" s="133"/>
      <c r="J258" s="133"/>
      <c r="K258" s="133"/>
      <c r="L258" s="133"/>
      <c r="M258" s="133"/>
      <c r="N258" s="133"/>
      <c r="O258" s="133"/>
    </row>
    <row r="259" spans="3:15">
      <c r="C259" s="133"/>
      <c r="D259" s="133"/>
      <c r="E259" s="133"/>
      <c r="F259" s="133"/>
      <c r="G259" s="133"/>
      <c r="H259" s="133"/>
      <c r="I259" s="133"/>
      <c r="J259" s="133"/>
      <c r="K259" s="133"/>
      <c r="L259" s="133"/>
      <c r="M259" s="133"/>
      <c r="N259" s="133"/>
      <c r="O259" s="133"/>
    </row>
    <row r="260" spans="3:15">
      <c r="C260" s="133"/>
      <c r="D260" s="133"/>
      <c r="E260" s="133"/>
      <c r="F260" s="133"/>
      <c r="G260" s="133"/>
      <c r="H260" s="133"/>
      <c r="I260" s="133"/>
      <c r="J260" s="133"/>
      <c r="K260" s="133"/>
      <c r="L260" s="133"/>
      <c r="M260" s="133"/>
      <c r="N260" s="133"/>
      <c r="O260" s="133"/>
    </row>
    <row r="261" spans="3:15">
      <c r="C261" s="133"/>
      <c r="D261" s="133"/>
      <c r="E261" s="133"/>
      <c r="F261" s="133"/>
      <c r="G261" s="133"/>
      <c r="H261" s="133"/>
      <c r="I261" s="133"/>
      <c r="J261" s="133"/>
      <c r="K261" s="133"/>
      <c r="L261" s="133"/>
      <c r="M261" s="133"/>
      <c r="N261" s="133"/>
      <c r="O261" s="133"/>
    </row>
    <row r="262" spans="3:15">
      <c r="C262" s="133"/>
      <c r="D262" s="133"/>
      <c r="E262" s="133"/>
      <c r="F262" s="133"/>
      <c r="G262" s="133"/>
      <c r="H262" s="133"/>
      <c r="I262" s="133"/>
      <c r="J262" s="133"/>
      <c r="K262" s="133"/>
      <c r="L262" s="133"/>
      <c r="M262" s="133"/>
      <c r="N262" s="133"/>
      <c r="O262" s="133"/>
    </row>
    <row r="263" spans="3:15">
      <c r="C263" s="133"/>
      <c r="D263" s="133"/>
      <c r="E263" s="133"/>
      <c r="F263" s="133"/>
      <c r="G263" s="133"/>
      <c r="H263" s="133"/>
      <c r="I263" s="133"/>
      <c r="J263" s="133"/>
      <c r="K263" s="133"/>
      <c r="L263" s="133"/>
      <c r="M263" s="133"/>
      <c r="N263" s="133"/>
      <c r="O263" s="133"/>
    </row>
    <row r="264" spans="3:15">
      <c r="C264" s="133"/>
      <c r="D264" s="133"/>
      <c r="E264" s="133"/>
      <c r="F264" s="133"/>
      <c r="G264" s="133"/>
      <c r="H264" s="133"/>
      <c r="I264" s="133"/>
      <c r="J264" s="133"/>
      <c r="K264" s="133"/>
      <c r="L264" s="133"/>
      <c r="M264" s="133"/>
      <c r="N264" s="133"/>
      <c r="O264" s="133"/>
    </row>
    <row r="265" spans="3:15">
      <c r="C265" s="133"/>
      <c r="D265" s="133"/>
      <c r="E265" s="133"/>
      <c r="F265" s="133"/>
      <c r="G265" s="133"/>
      <c r="H265" s="133"/>
      <c r="I265" s="133"/>
      <c r="J265" s="133"/>
      <c r="K265" s="133"/>
      <c r="L265" s="133"/>
      <c r="M265" s="133"/>
      <c r="N265" s="133"/>
      <c r="O265" s="133"/>
    </row>
    <row r="266" spans="3:15">
      <c r="C266" s="133"/>
      <c r="D266" s="133"/>
      <c r="E266" s="133"/>
      <c r="F266" s="133"/>
      <c r="G266" s="133"/>
      <c r="H266" s="133"/>
      <c r="I266" s="133"/>
      <c r="J266" s="133"/>
      <c r="K266" s="133"/>
      <c r="L266" s="133"/>
      <c r="M266" s="133"/>
      <c r="N266" s="133"/>
      <c r="O266" s="133"/>
    </row>
    <row r="267" spans="3:15">
      <c r="C267" s="133"/>
      <c r="D267" s="133"/>
      <c r="E267" s="133"/>
      <c r="F267" s="133"/>
      <c r="G267" s="133"/>
      <c r="H267" s="133"/>
      <c r="I267" s="133"/>
      <c r="J267" s="133"/>
      <c r="K267" s="133"/>
      <c r="L267" s="133"/>
      <c r="M267" s="133"/>
      <c r="N267" s="133"/>
      <c r="O267" s="133"/>
    </row>
    <row r="268" spans="3:15">
      <c r="C268" s="133"/>
      <c r="D268" s="133"/>
      <c r="E268" s="133"/>
      <c r="F268" s="133"/>
      <c r="G268" s="133"/>
      <c r="H268" s="133"/>
      <c r="I268" s="133"/>
      <c r="J268" s="133"/>
      <c r="K268" s="133"/>
      <c r="L268" s="133"/>
      <c r="M268" s="133"/>
      <c r="N268" s="133"/>
      <c r="O268" s="133"/>
    </row>
    <row r="269" spans="3:15">
      <c r="C269" s="133"/>
      <c r="D269" s="133"/>
      <c r="E269" s="133"/>
      <c r="F269" s="133"/>
      <c r="G269" s="133"/>
      <c r="H269" s="133"/>
      <c r="I269" s="133"/>
      <c r="J269" s="133"/>
      <c r="K269" s="133"/>
      <c r="L269" s="133"/>
      <c r="M269" s="133"/>
      <c r="N269" s="133"/>
      <c r="O269" s="133"/>
    </row>
    <row r="270" spans="3:15">
      <c r="C270" s="133"/>
      <c r="D270" s="133"/>
      <c r="E270" s="133"/>
      <c r="F270" s="133"/>
      <c r="G270" s="133"/>
      <c r="H270" s="133"/>
      <c r="I270" s="133"/>
      <c r="J270" s="133"/>
      <c r="K270" s="133"/>
      <c r="L270" s="133"/>
      <c r="M270" s="133"/>
      <c r="N270" s="133"/>
      <c r="O270" s="133"/>
    </row>
    <row r="271" spans="3:15">
      <c r="C271" s="133"/>
      <c r="D271" s="133"/>
      <c r="E271" s="133"/>
      <c r="F271" s="133"/>
      <c r="G271" s="133"/>
      <c r="H271" s="133"/>
      <c r="I271" s="133"/>
      <c r="J271" s="133"/>
      <c r="K271" s="133"/>
      <c r="L271" s="133"/>
      <c r="M271" s="133"/>
      <c r="N271" s="133"/>
      <c r="O271" s="133"/>
    </row>
    <row r="272" spans="3:15">
      <c r="C272" s="133"/>
      <c r="D272" s="133"/>
      <c r="E272" s="133"/>
      <c r="F272" s="133"/>
      <c r="G272" s="133"/>
      <c r="H272" s="133"/>
      <c r="I272" s="133"/>
      <c r="J272" s="133"/>
      <c r="K272" s="133"/>
      <c r="L272" s="133"/>
      <c r="M272" s="133"/>
      <c r="N272" s="133"/>
      <c r="O272" s="133"/>
    </row>
    <row r="273" spans="3:15">
      <c r="C273" s="133"/>
      <c r="D273" s="133"/>
      <c r="E273" s="133"/>
      <c r="F273" s="133"/>
      <c r="G273" s="133"/>
      <c r="H273" s="133"/>
      <c r="I273" s="133"/>
      <c r="J273" s="133"/>
      <c r="K273" s="133"/>
      <c r="L273" s="133"/>
      <c r="M273" s="133"/>
      <c r="N273" s="133"/>
      <c r="O273" s="133"/>
    </row>
    <row r="274" spans="3:15">
      <c r="C274" s="133"/>
      <c r="D274" s="133"/>
      <c r="E274" s="133"/>
      <c r="F274" s="133"/>
      <c r="G274" s="133"/>
      <c r="H274" s="133"/>
      <c r="I274" s="133"/>
      <c r="J274" s="133"/>
      <c r="K274" s="133"/>
      <c r="L274" s="133"/>
      <c r="M274" s="133"/>
      <c r="N274" s="133"/>
      <c r="O274" s="133"/>
    </row>
    <row r="275" spans="3:15">
      <c r="C275" s="133"/>
      <c r="D275" s="133"/>
      <c r="E275" s="133"/>
      <c r="F275" s="133"/>
      <c r="G275" s="133"/>
      <c r="H275" s="133"/>
      <c r="I275" s="133"/>
      <c r="J275" s="133"/>
      <c r="K275" s="133"/>
      <c r="L275" s="133"/>
      <c r="M275" s="133"/>
      <c r="N275" s="133"/>
      <c r="O275" s="133"/>
    </row>
    <row r="276" spans="3:15">
      <c r="C276" s="133"/>
      <c r="D276" s="133"/>
      <c r="E276" s="133"/>
      <c r="F276" s="133"/>
      <c r="G276" s="133"/>
      <c r="H276" s="133"/>
      <c r="I276" s="133"/>
      <c r="J276" s="133"/>
      <c r="K276" s="133"/>
      <c r="L276" s="133"/>
      <c r="M276" s="133"/>
      <c r="N276" s="133"/>
      <c r="O276" s="133"/>
    </row>
    <row r="277" spans="3:15">
      <c r="C277" s="133"/>
      <c r="D277" s="133"/>
      <c r="E277" s="133"/>
      <c r="F277" s="133"/>
      <c r="G277" s="133"/>
      <c r="H277" s="133"/>
      <c r="I277" s="133"/>
      <c r="J277" s="133"/>
      <c r="K277" s="133"/>
      <c r="L277" s="133"/>
      <c r="M277" s="133"/>
      <c r="N277" s="133"/>
      <c r="O277" s="133"/>
    </row>
    <row r="278" spans="3:15">
      <c r="C278" s="133"/>
      <c r="D278" s="133"/>
      <c r="E278" s="133"/>
      <c r="F278" s="133"/>
      <c r="G278" s="133"/>
      <c r="H278" s="133"/>
      <c r="I278" s="133"/>
      <c r="J278" s="133"/>
      <c r="K278" s="133"/>
      <c r="L278" s="133"/>
      <c r="M278" s="133"/>
      <c r="N278" s="133"/>
      <c r="O278" s="133"/>
    </row>
    <row r="279" spans="3:15">
      <c r="C279" s="133"/>
      <c r="D279" s="133"/>
      <c r="E279" s="133"/>
      <c r="F279" s="133"/>
      <c r="G279" s="133"/>
      <c r="H279" s="133"/>
      <c r="I279" s="133"/>
      <c r="J279" s="133"/>
      <c r="K279" s="133"/>
      <c r="L279" s="133"/>
      <c r="M279" s="133"/>
      <c r="N279" s="133"/>
      <c r="O279" s="133"/>
    </row>
    <row r="280" spans="3:15">
      <c r="C280" s="133"/>
      <c r="D280" s="133"/>
      <c r="E280" s="133"/>
      <c r="F280" s="133"/>
      <c r="G280" s="133"/>
      <c r="H280" s="133"/>
      <c r="I280" s="133"/>
      <c r="J280" s="133"/>
      <c r="K280" s="133"/>
      <c r="L280" s="133"/>
      <c r="M280" s="133"/>
      <c r="N280" s="133"/>
      <c r="O280" s="133"/>
    </row>
    <row r="281" spans="3:15">
      <c r="C281" s="133"/>
      <c r="D281" s="133"/>
      <c r="E281" s="133"/>
      <c r="F281" s="133"/>
      <c r="G281" s="133"/>
      <c r="H281" s="133"/>
      <c r="I281" s="133"/>
      <c r="J281" s="133"/>
      <c r="K281" s="133"/>
      <c r="L281" s="133"/>
      <c r="M281" s="133"/>
      <c r="N281" s="133"/>
      <c r="O281" s="133"/>
    </row>
    <row r="282" spans="3:15">
      <c r="C282" s="133"/>
      <c r="D282" s="133"/>
      <c r="E282" s="133"/>
      <c r="F282" s="133"/>
      <c r="G282" s="133"/>
      <c r="H282" s="133"/>
      <c r="I282" s="133"/>
      <c r="J282" s="133"/>
      <c r="K282" s="133"/>
      <c r="L282" s="133"/>
      <c r="M282" s="133"/>
      <c r="N282" s="133"/>
      <c r="O282" s="133"/>
    </row>
    <row r="283" spans="3:15">
      <c r="C283" s="133"/>
      <c r="D283" s="133"/>
      <c r="E283" s="133"/>
      <c r="F283" s="133"/>
      <c r="G283" s="133"/>
      <c r="H283" s="133"/>
      <c r="I283" s="133"/>
      <c r="J283" s="133"/>
      <c r="K283" s="133"/>
      <c r="L283" s="133"/>
      <c r="M283" s="133"/>
      <c r="N283" s="133"/>
      <c r="O283" s="133"/>
    </row>
    <row r="284" spans="3:15">
      <c r="C284" s="133"/>
      <c r="D284" s="133"/>
      <c r="E284" s="133"/>
      <c r="F284" s="133"/>
      <c r="G284" s="133"/>
      <c r="H284" s="133"/>
      <c r="I284" s="133"/>
      <c r="J284" s="133"/>
      <c r="K284" s="133"/>
      <c r="L284" s="133"/>
      <c r="M284" s="133"/>
      <c r="N284" s="133"/>
      <c r="O284" s="133"/>
    </row>
    <row r="285" spans="3:15">
      <c r="C285" s="133"/>
      <c r="D285" s="133"/>
      <c r="E285" s="133"/>
      <c r="F285" s="133"/>
      <c r="G285" s="133"/>
      <c r="H285" s="133"/>
      <c r="I285" s="133"/>
      <c r="J285" s="133"/>
      <c r="K285" s="133"/>
      <c r="L285" s="133"/>
      <c r="M285" s="133"/>
      <c r="N285" s="133"/>
      <c r="O285" s="133"/>
    </row>
    <row r="286" spans="3:15">
      <c r="C286" s="133"/>
      <c r="D286" s="133"/>
      <c r="E286" s="133"/>
      <c r="F286" s="133"/>
      <c r="G286" s="133"/>
      <c r="H286" s="133"/>
      <c r="I286" s="133"/>
      <c r="J286" s="133"/>
      <c r="K286" s="133"/>
      <c r="L286" s="133"/>
      <c r="M286" s="133"/>
      <c r="N286" s="133"/>
      <c r="O286" s="133"/>
    </row>
    <row r="287" spans="3:15">
      <c r="C287" s="133"/>
      <c r="D287" s="133"/>
      <c r="E287" s="133"/>
      <c r="F287" s="133"/>
      <c r="G287" s="133"/>
      <c r="H287" s="133"/>
      <c r="I287" s="133"/>
      <c r="J287" s="133"/>
      <c r="K287" s="133"/>
      <c r="L287" s="133"/>
      <c r="M287" s="133"/>
      <c r="N287" s="133"/>
      <c r="O287" s="133"/>
    </row>
    <row r="288" spans="3:15">
      <c r="C288" s="133"/>
      <c r="D288" s="133"/>
      <c r="E288" s="133"/>
      <c r="F288" s="133"/>
      <c r="G288" s="133"/>
      <c r="H288" s="133"/>
      <c r="I288" s="133"/>
      <c r="J288" s="133"/>
      <c r="K288" s="133"/>
      <c r="L288" s="133"/>
      <c r="M288" s="133"/>
      <c r="N288" s="133"/>
      <c r="O288" s="133"/>
    </row>
    <row r="289" spans="3:15">
      <c r="C289" s="133"/>
      <c r="D289" s="133"/>
      <c r="E289" s="133"/>
      <c r="F289" s="133"/>
      <c r="G289" s="133"/>
      <c r="H289" s="133"/>
      <c r="I289" s="133"/>
      <c r="J289" s="133"/>
      <c r="K289" s="133"/>
      <c r="L289" s="133"/>
      <c r="M289" s="133"/>
      <c r="N289" s="133"/>
      <c r="O289" s="133"/>
    </row>
    <row r="290" spans="3:15">
      <c r="C290" s="133"/>
      <c r="D290" s="133"/>
      <c r="E290" s="133"/>
      <c r="F290" s="133"/>
      <c r="G290" s="133"/>
      <c r="H290" s="133"/>
      <c r="I290" s="133"/>
      <c r="J290" s="133"/>
      <c r="K290" s="133"/>
      <c r="L290" s="133"/>
      <c r="M290" s="133"/>
      <c r="N290" s="133"/>
      <c r="O290" s="133"/>
    </row>
    <row r="291" spans="3:15">
      <c r="C291" s="133"/>
      <c r="D291" s="133"/>
      <c r="E291" s="133"/>
      <c r="F291" s="133"/>
      <c r="G291" s="133"/>
      <c r="H291" s="133"/>
      <c r="I291" s="133"/>
      <c r="J291" s="133"/>
      <c r="K291" s="133"/>
      <c r="L291" s="133"/>
      <c r="M291" s="133"/>
      <c r="N291" s="133"/>
      <c r="O291" s="133"/>
    </row>
    <row r="292" spans="3:15">
      <c r="C292" s="133"/>
      <c r="D292" s="133"/>
      <c r="E292" s="133"/>
      <c r="F292" s="133"/>
      <c r="G292" s="133"/>
      <c r="H292" s="133"/>
      <c r="I292" s="133"/>
      <c r="J292" s="133"/>
      <c r="K292" s="133"/>
      <c r="L292" s="133"/>
      <c r="M292" s="133"/>
      <c r="N292" s="133"/>
      <c r="O292" s="133"/>
    </row>
    <row r="293" spans="3:15">
      <c r="C293" s="133"/>
      <c r="D293" s="133"/>
      <c r="E293" s="133"/>
      <c r="F293" s="133"/>
      <c r="G293" s="133"/>
      <c r="H293" s="133"/>
      <c r="I293" s="133"/>
      <c r="J293" s="133"/>
      <c r="K293" s="133"/>
      <c r="L293" s="133"/>
      <c r="M293" s="133"/>
      <c r="N293" s="133"/>
      <c r="O293" s="133"/>
    </row>
    <row r="294" spans="3:15">
      <c r="C294" s="133"/>
      <c r="D294" s="133"/>
      <c r="E294" s="133"/>
      <c r="F294" s="133"/>
      <c r="G294" s="133"/>
      <c r="H294" s="133"/>
      <c r="I294" s="133"/>
      <c r="J294" s="133"/>
      <c r="K294" s="133"/>
      <c r="L294" s="133"/>
      <c r="M294" s="133"/>
      <c r="N294" s="133"/>
      <c r="O294" s="133"/>
    </row>
    <row r="295" spans="3:15">
      <c r="C295" s="133"/>
      <c r="D295" s="133"/>
      <c r="E295" s="133"/>
      <c r="F295" s="133"/>
      <c r="G295" s="133"/>
      <c r="H295" s="133"/>
      <c r="I295" s="133"/>
      <c r="J295" s="133"/>
      <c r="K295" s="133"/>
      <c r="L295" s="133"/>
      <c r="M295" s="133"/>
      <c r="N295" s="133"/>
      <c r="O295" s="133"/>
    </row>
    <row r="296" spans="3:15">
      <c r="C296" s="133"/>
      <c r="D296" s="133"/>
      <c r="E296" s="133"/>
      <c r="F296" s="133"/>
      <c r="G296" s="133"/>
      <c r="H296" s="133"/>
      <c r="I296" s="133"/>
      <c r="J296" s="133"/>
      <c r="K296" s="133"/>
      <c r="L296" s="133"/>
      <c r="M296" s="133"/>
      <c r="N296" s="133"/>
      <c r="O296" s="133"/>
    </row>
    <row r="297" spans="3:15">
      <c r="C297" s="133"/>
      <c r="D297" s="133"/>
      <c r="E297" s="133"/>
      <c r="F297" s="133"/>
      <c r="G297" s="133"/>
      <c r="H297" s="133"/>
      <c r="I297" s="133"/>
      <c r="J297" s="133"/>
      <c r="K297" s="133"/>
      <c r="L297" s="133"/>
      <c r="M297" s="133"/>
      <c r="N297" s="133"/>
      <c r="O297" s="133"/>
    </row>
    <row r="298" spans="3:15">
      <c r="C298" s="133"/>
      <c r="D298" s="133"/>
      <c r="E298" s="133"/>
      <c r="F298" s="133"/>
      <c r="G298" s="133"/>
      <c r="H298" s="133"/>
      <c r="I298" s="133"/>
      <c r="J298" s="133"/>
      <c r="K298" s="133"/>
      <c r="L298" s="133"/>
      <c r="M298" s="133"/>
      <c r="N298" s="133"/>
      <c r="O298" s="133"/>
    </row>
    <row r="299" spans="3:15">
      <c r="C299" s="133"/>
      <c r="D299" s="133"/>
      <c r="E299" s="133"/>
      <c r="F299" s="133"/>
      <c r="G299" s="133"/>
      <c r="H299" s="133"/>
      <c r="I299" s="133"/>
      <c r="J299" s="133"/>
      <c r="K299" s="133"/>
      <c r="L299" s="133"/>
      <c r="M299" s="133"/>
      <c r="N299" s="133"/>
      <c r="O299" s="133"/>
    </row>
    <row r="300" spans="3:15">
      <c r="C300" s="133"/>
      <c r="D300" s="133"/>
      <c r="E300" s="133"/>
      <c r="F300" s="133"/>
      <c r="G300" s="133"/>
      <c r="H300" s="133"/>
      <c r="I300" s="133"/>
      <c r="J300" s="133"/>
      <c r="K300" s="133"/>
      <c r="L300" s="133"/>
      <c r="M300" s="133"/>
      <c r="N300" s="133"/>
      <c r="O300" s="133"/>
    </row>
    <row r="301" spans="3:15">
      <c r="C301" s="133"/>
      <c r="D301" s="133"/>
      <c r="E301" s="133"/>
      <c r="F301" s="133"/>
      <c r="G301" s="133"/>
      <c r="H301" s="133"/>
      <c r="I301" s="133"/>
      <c r="J301" s="133"/>
      <c r="K301" s="133"/>
      <c r="L301" s="133"/>
      <c r="M301" s="133"/>
      <c r="N301" s="133"/>
      <c r="O301" s="133"/>
    </row>
    <row r="302" spans="3:15">
      <c r="C302" s="133"/>
      <c r="D302" s="133"/>
      <c r="E302" s="133"/>
      <c r="F302" s="133"/>
      <c r="G302" s="133"/>
      <c r="H302" s="133"/>
      <c r="I302" s="133"/>
      <c r="J302" s="133"/>
      <c r="K302" s="133"/>
      <c r="L302" s="133"/>
      <c r="M302" s="133"/>
      <c r="N302" s="133"/>
      <c r="O302" s="133"/>
    </row>
    <row r="303" spans="3:15">
      <c r="C303" s="133"/>
      <c r="D303" s="133"/>
      <c r="E303" s="133"/>
      <c r="F303" s="133"/>
      <c r="G303" s="133"/>
      <c r="H303" s="133"/>
      <c r="I303" s="133"/>
      <c r="J303" s="133"/>
      <c r="K303" s="133"/>
      <c r="L303" s="133"/>
      <c r="M303" s="133"/>
      <c r="N303" s="133"/>
      <c r="O303" s="133"/>
    </row>
    <row r="304" spans="3:15">
      <c r="C304" s="133"/>
      <c r="D304" s="133"/>
      <c r="E304" s="133"/>
      <c r="F304" s="133"/>
      <c r="G304" s="133"/>
      <c r="H304" s="133"/>
      <c r="I304" s="133"/>
      <c r="J304" s="133"/>
      <c r="K304" s="133"/>
      <c r="L304" s="133"/>
      <c r="M304" s="133"/>
      <c r="N304" s="133"/>
      <c r="O304" s="133"/>
    </row>
    <row r="305" spans="3:15">
      <c r="C305" s="133"/>
      <c r="D305" s="133"/>
      <c r="E305" s="133"/>
      <c r="F305" s="133"/>
      <c r="G305" s="133"/>
      <c r="H305" s="133"/>
      <c r="I305" s="133"/>
      <c r="J305" s="133"/>
      <c r="K305" s="133"/>
      <c r="L305" s="133"/>
      <c r="M305" s="133"/>
      <c r="N305" s="133"/>
      <c r="O305" s="133"/>
    </row>
    <row r="306" spans="3:15">
      <c r="C306" s="133"/>
      <c r="D306" s="133"/>
      <c r="E306" s="133"/>
      <c r="F306" s="133"/>
      <c r="G306" s="133"/>
      <c r="H306" s="133"/>
      <c r="I306" s="133"/>
      <c r="J306" s="133"/>
      <c r="K306" s="133"/>
      <c r="L306" s="133"/>
      <c r="M306" s="133"/>
      <c r="N306" s="133"/>
      <c r="O306" s="133"/>
    </row>
    <row r="307" spans="3:15">
      <c r="C307" s="133"/>
      <c r="D307" s="133"/>
      <c r="E307" s="133"/>
      <c r="F307" s="133"/>
      <c r="G307" s="133"/>
      <c r="H307" s="133"/>
      <c r="I307" s="133"/>
      <c r="J307" s="133"/>
      <c r="K307" s="133"/>
      <c r="L307" s="133"/>
      <c r="M307" s="133"/>
      <c r="N307" s="133"/>
      <c r="O307" s="133"/>
    </row>
    <row r="308" spans="3:15">
      <c r="C308" s="133"/>
      <c r="D308" s="133"/>
      <c r="E308" s="133"/>
      <c r="F308" s="133"/>
      <c r="G308" s="133"/>
      <c r="H308" s="133"/>
      <c r="I308" s="133"/>
      <c r="J308" s="133"/>
      <c r="K308" s="133"/>
      <c r="L308" s="133"/>
      <c r="M308" s="133"/>
      <c r="N308" s="133"/>
      <c r="O308" s="133"/>
    </row>
    <row r="309" spans="3:15">
      <c r="C309" s="133"/>
      <c r="D309" s="133"/>
      <c r="E309" s="133"/>
      <c r="F309" s="133"/>
      <c r="G309" s="133"/>
      <c r="H309" s="133"/>
      <c r="I309" s="133"/>
      <c r="J309" s="133"/>
      <c r="K309" s="133"/>
      <c r="L309" s="133"/>
      <c r="M309" s="133"/>
      <c r="N309" s="133"/>
      <c r="O309" s="133"/>
    </row>
    <row r="310" spans="3:15">
      <c r="C310" s="133"/>
      <c r="D310" s="133"/>
      <c r="E310" s="133"/>
      <c r="F310" s="133"/>
      <c r="G310" s="133"/>
      <c r="H310" s="133"/>
      <c r="I310" s="133"/>
      <c r="J310" s="133"/>
      <c r="K310" s="133"/>
      <c r="L310" s="133"/>
      <c r="M310" s="133"/>
      <c r="N310" s="133"/>
      <c r="O310" s="133"/>
    </row>
    <row r="311" spans="3:15">
      <c r="C311" s="133"/>
      <c r="D311" s="133"/>
      <c r="E311" s="133"/>
      <c r="F311" s="133"/>
      <c r="G311" s="133"/>
      <c r="H311" s="133"/>
      <c r="I311" s="133"/>
      <c r="J311" s="133"/>
      <c r="K311" s="133"/>
      <c r="L311" s="133"/>
      <c r="M311" s="133"/>
      <c r="N311" s="133"/>
      <c r="O311" s="133"/>
    </row>
    <row r="312" spans="3:15">
      <c r="C312" s="133"/>
      <c r="D312" s="133"/>
      <c r="E312" s="133"/>
      <c r="F312" s="133"/>
      <c r="G312" s="133"/>
      <c r="H312" s="133"/>
      <c r="I312" s="133"/>
      <c r="J312" s="133"/>
      <c r="K312" s="133"/>
      <c r="L312" s="133"/>
      <c r="M312" s="133"/>
      <c r="N312" s="133"/>
      <c r="O312" s="133"/>
    </row>
    <row r="313" spans="3:15">
      <c r="C313" s="133"/>
      <c r="D313" s="133"/>
      <c r="E313" s="133"/>
      <c r="F313" s="133"/>
      <c r="G313" s="133"/>
      <c r="H313" s="133"/>
      <c r="I313" s="133"/>
      <c r="J313" s="133"/>
      <c r="K313" s="133"/>
      <c r="L313" s="133"/>
      <c r="M313" s="133"/>
      <c r="N313" s="133"/>
      <c r="O313" s="133"/>
    </row>
    <row r="314" spans="3:15">
      <c r="C314" s="133"/>
      <c r="D314" s="133"/>
      <c r="E314" s="133"/>
      <c r="F314" s="133"/>
      <c r="G314" s="133"/>
      <c r="H314" s="133"/>
      <c r="I314" s="133"/>
      <c r="J314" s="133"/>
      <c r="K314" s="133"/>
      <c r="L314" s="133"/>
      <c r="M314" s="133"/>
      <c r="N314" s="133"/>
      <c r="O314" s="133"/>
    </row>
    <row r="315" spans="3:15">
      <c r="C315" s="133"/>
      <c r="D315" s="133"/>
      <c r="E315" s="133"/>
      <c r="F315" s="133"/>
      <c r="G315" s="133"/>
      <c r="H315" s="133"/>
      <c r="I315" s="133"/>
      <c r="J315" s="133"/>
      <c r="K315" s="133"/>
      <c r="L315" s="133"/>
      <c r="M315" s="133"/>
      <c r="N315" s="133"/>
      <c r="O315" s="133"/>
    </row>
    <row r="316" spans="3:15">
      <c r="C316" s="133"/>
      <c r="D316" s="133"/>
      <c r="E316" s="133"/>
      <c r="F316" s="133"/>
      <c r="G316" s="133"/>
      <c r="H316" s="133"/>
      <c r="I316" s="133"/>
      <c r="J316" s="133"/>
      <c r="K316" s="133"/>
      <c r="L316" s="133"/>
      <c r="M316" s="133"/>
      <c r="N316" s="133"/>
      <c r="O316" s="133"/>
    </row>
    <row r="317" spans="3:15">
      <c r="C317" s="133"/>
      <c r="D317" s="133"/>
      <c r="E317" s="133"/>
      <c r="F317" s="133"/>
      <c r="G317" s="133"/>
      <c r="H317" s="133"/>
      <c r="I317" s="133"/>
      <c r="J317" s="133"/>
      <c r="K317" s="133"/>
      <c r="L317" s="133"/>
      <c r="M317" s="133"/>
      <c r="N317" s="133"/>
      <c r="O317" s="133"/>
    </row>
    <row r="318" spans="3:15">
      <c r="C318" s="133"/>
      <c r="D318" s="133"/>
      <c r="E318" s="133"/>
      <c r="F318" s="133"/>
      <c r="G318" s="133"/>
      <c r="H318" s="133"/>
      <c r="I318" s="133"/>
      <c r="J318" s="133"/>
      <c r="K318" s="133"/>
      <c r="L318" s="133"/>
      <c r="M318" s="133"/>
      <c r="N318" s="133"/>
      <c r="O318" s="133"/>
    </row>
    <row r="319" spans="3:15">
      <c r="C319" s="133"/>
      <c r="D319" s="133"/>
      <c r="E319" s="133"/>
      <c r="F319" s="133"/>
      <c r="G319" s="133"/>
      <c r="H319" s="133"/>
      <c r="I319" s="133"/>
      <c r="J319" s="133"/>
      <c r="K319" s="133"/>
      <c r="L319" s="133"/>
      <c r="M319" s="133"/>
      <c r="N319" s="133"/>
      <c r="O319" s="133"/>
    </row>
    <row r="320" spans="3:15">
      <c r="C320" s="133"/>
      <c r="D320" s="133"/>
      <c r="E320" s="133"/>
      <c r="F320" s="133"/>
      <c r="G320" s="133"/>
      <c r="H320" s="133"/>
      <c r="I320" s="133"/>
      <c r="J320" s="133"/>
      <c r="K320" s="133"/>
      <c r="L320" s="133"/>
      <c r="M320" s="133"/>
      <c r="N320" s="133"/>
      <c r="O320" s="133"/>
    </row>
    <row r="321" spans="3:15">
      <c r="C321" s="133"/>
      <c r="D321" s="133"/>
      <c r="E321" s="133"/>
      <c r="F321" s="133"/>
      <c r="G321" s="133"/>
      <c r="H321" s="133"/>
      <c r="I321" s="133"/>
      <c r="J321" s="133"/>
      <c r="K321" s="133"/>
      <c r="L321" s="133"/>
      <c r="M321" s="133"/>
      <c r="N321" s="133"/>
      <c r="O321" s="133"/>
    </row>
    <row r="322" spans="3:15">
      <c r="C322" s="133"/>
      <c r="D322" s="133"/>
      <c r="E322" s="133"/>
      <c r="F322" s="133"/>
      <c r="G322" s="133"/>
      <c r="H322" s="133"/>
      <c r="I322" s="133"/>
      <c r="J322" s="133"/>
      <c r="K322" s="133"/>
      <c r="L322" s="133"/>
      <c r="M322" s="133"/>
      <c r="N322" s="133"/>
      <c r="O322" s="133"/>
    </row>
    <row r="323" spans="3:15">
      <c r="C323" s="133"/>
      <c r="D323" s="133"/>
      <c r="E323" s="133"/>
      <c r="F323" s="133"/>
      <c r="G323" s="133"/>
      <c r="H323" s="133"/>
      <c r="I323" s="133"/>
      <c r="J323" s="133"/>
      <c r="K323" s="133"/>
      <c r="L323" s="133"/>
      <c r="M323" s="133"/>
      <c r="N323" s="133"/>
      <c r="O323" s="133"/>
    </row>
    <row r="324" spans="3:15">
      <c r="C324" s="133"/>
      <c r="D324" s="133"/>
      <c r="E324" s="133"/>
      <c r="F324" s="133"/>
      <c r="G324" s="133"/>
      <c r="H324" s="133"/>
      <c r="I324" s="133"/>
      <c r="J324" s="133"/>
      <c r="K324" s="133"/>
      <c r="L324" s="133"/>
      <c r="M324" s="133"/>
      <c r="N324" s="133"/>
      <c r="O324" s="133"/>
    </row>
    <row r="325" spans="3:15">
      <c r="C325" s="133"/>
      <c r="D325" s="133"/>
      <c r="E325" s="133"/>
      <c r="F325" s="133"/>
      <c r="G325" s="133"/>
      <c r="H325" s="133"/>
      <c r="I325" s="133"/>
      <c r="J325" s="133"/>
      <c r="K325" s="133"/>
      <c r="L325" s="133"/>
      <c r="M325" s="133"/>
      <c r="N325" s="133"/>
      <c r="O325" s="133"/>
    </row>
    <row r="326" spans="3:15">
      <c r="C326" s="133"/>
      <c r="D326" s="133"/>
      <c r="E326" s="133"/>
      <c r="F326" s="133"/>
      <c r="G326" s="133"/>
      <c r="H326" s="133"/>
      <c r="I326" s="133"/>
      <c r="J326" s="133"/>
      <c r="K326" s="133"/>
      <c r="L326" s="133"/>
      <c r="M326" s="133"/>
      <c r="N326" s="133"/>
      <c r="O326" s="133"/>
    </row>
    <row r="327" spans="3:15">
      <c r="C327" s="133"/>
      <c r="D327" s="133"/>
      <c r="E327" s="133"/>
      <c r="F327" s="133"/>
      <c r="G327" s="133"/>
      <c r="H327" s="133"/>
      <c r="I327" s="133"/>
      <c r="J327" s="133"/>
      <c r="K327" s="133"/>
      <c r="L327" s="133"/>
      <c r="M327" s="133"/>
      <c r="N327" s="133"/>
      <c r="O327" s="133"/>
    </row>
    <row r="328" spans="3:15">
      <c r="C328" s="133"/>
      <c r="D328" s="133"/>
      <c r="E328" s="133"/>
      <c r="F328" s="133"/>
      <c r="G328" s="133"/>
      <c r="H328" s="133"/>
      <c r="I328" s="133"/>
      <c r="J328" s="133"/>
      <c r="K328" s="133"/>
      <c r="L328" s="133"/>
      <c r="M328" s="133"/>
      <c r="N328" s="133"/>
      <c r="O328" s="133"/>
    </row>
    <row r="329" spans="3:15">
      <c r="C329" s="133"/>
      <c r="D329" s="133"/>
      <c r="E329" s="133"/>
      <c r="F329" s="133"/>
      <c r="G329" s="133"/>
      <c r="H329" s="133"/>
      <c r="I329" s="133"/>
      <c r="J329" s="133"/>
      <c r="K329" s="133"/>
      <c r="L329" s="133"/>
      <c r="M329" s="133"/>
      <c r="N329" s="133"/>
      <c r="O329" s="133"/>
    </row>
    <row r="330" spans="3:15">
      <c r="C330" s="133"/>
      <c r="D330" s="133"/>
      <c r="E330" s="133"/>
      <c r="F330" s="133"/>
      <c r="G330" s="133"/>
      <c r="H330" s="133"/>
      <c r="I330" s="133"/>
      <c r="J330" s="133"/>
      <c r="K330" s="133"/>
      <c r="L330" s="133"/>
      <c r="M330" s="133"/>
      <c r="N330" s="133"/>
      <c r="O330" s="133"/>
    </row>
    <row r="331" spans="3:15">
      <c r="C331" s="133"/>
      <c r="D331" s="133"/>
      <c r="E331" s="133"/>
      <c r="F331" s="133"/>
      <c r="G331" s="133"/>
      <c r="H331" s="133"/>
      <c r="I331" s="133"/>
      <c r="J331" s="133"/>
      <c r="K331" s="133"/>
      <c r="L331" s="133"/>
      <c r="M331" s="133"/>
      <c r="N331" s="133"/>
      <c r="O331" s="133"/>
    </row>
    <row r="332" spans="3:15">
      <c r="C332" s="133"/>
      <c r="D332" s="133"/>
      <c r="E332" s="133"/>
      <c r="F332" s="133"/>
      <c r="G332" s="133"/>
      <c r="H332" s="133"/>
      <c r="I332" s="133"/>
      <c r="J332" s="133"/>
      <c r="K332" s="133"/>
      <c r="L332" s="133"/>
      <c r="M332" s="133"/>
      <c r="N332" s="133"/>
      <c r="O332" s="133"/>
    </row>
    <row r="333" spans="3:15">
      <c r="C333" s="133"/>
      <c r="D333" s="133"/>
      <c r="E333" s="133"/>
      <c r="F333" s="133"/>
      <c r="G333" s="133"/>
      <c r="H333" s="133"/>
      <c r="I333" s="133"/>
      <c r="J333" s="133"/>
      <c r="K333" s="133"/>
      <c r="L333" s="133"/>
      <c r="M333" s="133"/>
      <c r="N333" s="133"/>
      <c r="O333" s="133"/>
    </row>
    <row r="334" spans="3:15">
      <c r="C334" s="133"/>
      <c r="D334" s="133"/>
      <c r="E334" s="133"/>
      <c r="F334" s="133"/>
      <c r="G334" s="133"/>
      <c r="H334" s="133"/>
      <c r="I334" s="133"/>
      <c r="J334" s="133"/>
      <c r="K334" s="133"/>
      <c r="L334" s="133"/>
      <c r="M334" s="133"/>
      <c r="N334" s="133"/>
      <c r="O334" s="133"/>
    </row>
    <row r="335" spans="3:15">
      <c r="C335" s="133"/>
      <c r="D335" s="133"/>
      <c r="E335" s="133"/>
      <c r="F335" s="133"/>
      <c r="G335" s="133"/>
      <c r="H335" s="133"/>
      <c r="I335" s="133"/>
      <c r="J335" s="133"/>
      <c r="K335" s="133"/>
      <c r="L335" s="133"/>
      <c r="M335" s="133"/>
      <c r="N335" s="133"/>
      <c r="O335" s="133"/>
    </row>
    <row r="336" spans="3:15">
      <c r="C336" s="133"/>
      <c r="D336" s="133"/>
      <c r="E336" s="133"/>
      <c r="F336" s="133"/>
      <c r="G336" s="133"/>
      <c r="H336" s="133"/>
      <c r="I336" s="133"/>
      <c r="J336" s="133"/>
      <c r="K336" s="133"/>
      <c r="L336" s="133"/>
      <c r="M336" s="133"/>
      <c r="N336" s="133"/>
      <c r="O336" s="133"/>
    </row>
    <row r="337" spans="3:15">
      <c r="C337" s="133"/>
      <c r="D337" s="133"/>
      <c r="E337" s="133"/>
      <c r="F337" s="133"/>
      <c r="G337" s="133"/>
      <c r="H337" s="133"/>
      <c r="I337" s="133"/>
      <c r="J337" s="133"/>
      <c r="K337" s="133"/>
      <c r="L337" s="133"/>
      <c r="M337" s="133"/>
      <c r="N337" s="133"/>
      <c r="O337" s="133"/>
    </row>
    <row r="338" spans="3:15">
      <c r="C338" s="133"/>
      <c r="D338" s="133"/>
      <c r="E338" s="133"/>
      <c r="F338" s="133"/>
      <c r="G338" s="133"/>
      <c r="H338" s="133"/>
      <c r="I338" s="133"/>
      <c r="J338" s="133"/>
      <c r="K338" s="133"/>
      <c r="L338" s="133"/>
      <c r="M338" s="133"/>
      <c r="N338" s="133"/>
      <c r="O338" s="133"/>
    </row>
    <row r="339" spans="3:15">
      <c r="C339" s="133"/>
      <c r="D339" s="133"/>
      <c r="E339" s="133"/>
      <c r="F339" s="133"/>
      <c r="G339" s="133"/>
      <c r="H339" s="133"/>
      <c r="I339" s="133"/>
      <c r="J339" s="133"/>
      <c r="K339" s="133"/>
      <c r="L339" s="133"/>
      <c r="M339" s="133"/>
      <c r="N339" s="133"/>
      <c r="O339" s="133"/>
    </row>
    <row r="340" spans="3:15">
      <c r="C340" s="133"/>
      <c r="D340" s="133"/>
      <c r="E340" s="133"/>
      <c r="F340" s="133"/>
      <c r="G340" s="133"/>
      <c r="H340" s="133"/>
      <c r="I340" s="133"/>
      <c r="J340" s="133"/>
      <c r="K340" s="133"/>
      <c r="L340" s="133"/>
      <c r="M340" s="133"/>
      <c r="N340" s="133"/>
      <c r="O340" s="133"/>
    </row>
    <row r="341" spans="3:15">
      <c r="C341" s="133"/>
      <c r="D341" s="133"/>
      <c r="E341" s="133"/>
      <c r="F341" s="133"/>
      <c r="G341" s="133"/>
      <c r="H341" s="133"/>
      <c r="I341" s="133"/>
      <c r="J341" s="133"/>
      <c r="K341" s="133"/>
      <c r="L341" s="133"/>
      <c r="M341" s="133"/>
      <c r="N341" s="133"/>
      <c r="O341" s="133"/>
    </row>
    <row r="342" spans="3:15">
      <c r="C342" s="133"/>
      <c r="D342" s="133"/>
      <c r="E342" s="133"/>
      <c r="F342" s="133"/>
      <c r="G342" s="133"/>
      <c r="H342" s="133"/>
      <c r="I342" s="133"/>
      <c r="J342" s="133"/>
      <c r="K342" s="133"/>
      <c r="L342" s="133"/>
      <c r="M342" s="133"/>
      <c r="N342" s="133"/>
      <c r="O342" s="133"/>
    </row>
    <row r="343" spans="3:15">
      <c r="C343" s="133"/>
      <c r="D343" s="133"/>
      <c r="E343" s="133"/>
      <c r="F343" s="133"/>
      <c r="G343" s="133"/>
      <c r="H343" s="133"/>
      <c r="I343" s="133"/>
      <c r="J343" s="133"/>
      <c r="K343" s="133"/>
      <c r="L343" s="133"/>
      <c r="M343" s="133"/>
      <c r="N343" s="133"/>
      <c r="O343" s="133"/>
    </row>
    <row r="344" spans="3:15">
      <c r="C344" s="133"/>
      <c r="D344" s="133"/>
      <c r="E344" s="133"/>
      <c r="F344" s="133"/>
      <c r="G344" s="133"/>
      <c r="H344" s="133"/>
      <c r="I344" s="133"/>
      <c r="J344" s="133"/>
      <c r="K344" s="133"/>
      <c r="L344" s="133"/>
      <c r="M344" s="133"/>
      <c r="N344" s="133"/>
      <c r="O344" s="133"/>
    </row>
    <row r="345" spans="3:15">
      <c r="C345" s="133"/>
      <c r="D345" s="133"/>
      <c r="E345" s="133"/>
      <c r="F345" s="133"/>
      <c r="G345" s="133"/>
      <c r="H345" s="133"/>
      <c r="I345" s="133"/>
      <c r="J345" s="133"/>
      <c r="K345" s="133"/>
      <c r="L345" s="133"/>
      <c r="M345" s="133"/>
      <c r="N345" s="133"/>
      <c r="O345" s="133"/>
    </row>
    <row r="346" spans="3:15">
      <c r="C346" s="133"/>
      <c r="D346" s="133"/>
      <c r="E346" s="133"/>
      <c r="F346" s="133"/>
      <c r="G346" s="133"/>
      <c r="H346" s="133"/>
      <c r="I346" s="133"/>
      <c r="J346" s="133"/>
      <c r="K346" s="133"/>
      <c r="L346" s="133"/>
      <c r="M346" s="133"/>
      <c r="N346" s="133"/>
      <c r="O346" s="133"/>
    </row>
    <row r="347" spans="3:15">
      <c r="C347" s="133"/>
      <c r="D347" s="133"/>
      <c r="E347" s="133"/>
      <c r="F347" s="133"/>
      <c r="G347" s="133"/>
      <c r="H347" s="133"/>
      <c r="I347" s="133"/>
      <c r="J347" s="133"/>
      <c r="K347" s="133"/>
      <c r="L347" s="133"/>
      <c r="M347" s="133"/>
      <c r="N347" s="133"/>
      <c r="O347" s="133"/>
    </row>
    <row r="348" spans="3:15">
      <c r="C348" s="133"/>
      <c r="D348" s="133"/>
      <c r="E348" s="133"/>
      <c r="F348" s="133"/>
      <c r="G348" s="133"/>
      <c r="H348" s="133"/>
      <c r="I348" s="133"/>
      <c r="J348" s="133"/>
      <c r="K348" s="133"/>
      <c r="L348" s="133"/>
      <c r="M348" s="133"/>
      <c r="N348" s="133"/>
      <c r="O348" s="133"/>
    </row>
    <row r="349" spans="3:15">
      <c r="C349" s="133"/>
      <c r="D349" s="133"/>
      <c r="E349" s="133"/>
      <c r="F349" s="133"/>
      <c r="G349" s="133"/>
      <c r="H349" s="133"/>
      <c r="I349" s="133"/>
      <c r="J349" s="133"/>
      <c r="K349" s="133"/>
      <c r="L349" s="133"/>
      <c r="M349" s="133"/>
      <c r="N349" s="133"/>
      <c r="O349" s="133"/>
    </row>
    <row r="350" spans="3:15">
      <c r="C350" s="133"/>
      <c r="D350" s="133"/>
      <c r="E350" s="133"/>
      <c r="F350" s="133"/>
      <c r="G350" s="133"/>
      <c r="H350" s="133"/>
      <c r="I350" s="133"/>
      <c r="J350" s="133"/>
      <c r="K350" s="133"/>
      <c r="L350" s="133"/>
      <c r="M350" s="133"/>
      <c r="N350" s="133"/>
      <c r="O350" s="133"/>
    </row>
    <row r="351" spans="3:15">
      <c r="C351" s="133"/>
      <c r="D351" s="133"/>
      <c r="E351" s="133"/>
      <c r="F351" s="133"/>
      <c r="G351" s="133"/>
      <c r="H351" s="133"/>
      <c r="I351" s="133"/>
      <c r="J351" s="133"/>
      <c r="K351" s="133"/>
      <c r="L351" s="133"/>
      <c r="M351" s="133"/>
      <c r="N351" s="133"/>
      <c r="O351" s="133"/>
    </row>
    <row r="352" spans="3:15">
      <c r="C352" s="133"/>
      <c r="D352" s="133"/>
      <c r="E352" s="133"/>
      <c r="F352" s="133"/>
      <c r="G352" s="133"/>
      <c r="H352" s="133"/>
      <c r="I352" s="133"/>
      <c r="J352" s="133"/>
      <c r="K352" s="133"/>
      <c r="L352" s="133"/>
      <c r="M352" s="133"/>
      <c r="N352" s="133"/>
      <c r="O352" s="133"/>
    </row>
    <row r="353" spans="3:15">
      <c r="C353" s="133"/>
      <c r="D353" s="133"/>
      <c r="E353" s="133"/>
      <c r="F353" s="133"/>
      <c r="G353" s="133"/>
      <c r="H353" s="133"/>
      <c r="I353" s="133"/>
      <c r="J353" s="133"/>
      <c r="K353" s="133"/>
      <c r="L353" s="133"/>
      <c r="M353" s="133"/>
      <c r="N353" s="133"/>
      <c r="O353" s="133"/>
    </row>
    <row r="354" spans="3:15">
      <c r="C354" s="133"/>
      <c r="D354" s="133"/>
      <c r="E354" s="133"/>
      <c r="F354" s="133"/>
      <c r="G354" s="133"/>
      <c r="H354" s="133"/>
      <c r="I354" s="133"/>
      <c r="J354" s="133"/>
      <c r="K354" s="133"/>
      <c r="L354" s="133"/>
      <c r="M354" s="133"/>
      <c r="N354" s="133"/>
      <c r="O354" s="133"/>
    </row>
    <row r="355" spans="3:15">
      <c r="C355" s="133"/>
      <c r="D355" s="133"/>
      <c r="E355" s="133"/>
      <c r="F355" s="133"/>
      <c r="G355" s="133"/>
      <c r="H355" s="133"/>
      <c r="I355" s="133"/>
      <c r="J355" s="133"/>
      <c r="K355" s="133"/>
      <c r="L355" s="133"/>
      <c r="M355" s="133"/>
      <c r="N355" s="133"/>
      <c r="O355" s="133"/>
    </row>
    <row r="356" spans="3:15">
      <c r="C356" s="133"/>
      <c r="D356" s="133"/>
      <c r="E356" s="133"/>
      <c r="F356" s="133"/>
      <c r="G356" s="133"/>
      <c r="H356" s="133"/>
      <c r="I356" s="133"/>
      <c r="J356" s="133"/>
      <c r="K356" s="133"/>
      <c r="L356" s="133"/>
      <c r="M356" s="133"/>
      <c r="N356" s="133"/>
      <c r="O356" s="133"/>
    </row>
    <row r="357" spans="3:15">
      <c r="C357" s="133"/>
      <c r="D357" s="133"/>
      <c r="E357" s="133"/>
      <c r="F357" s="133"/>
      <c r="G357" s="133"/>
      <c r="H357" s="133"/>
      <c r="I357" s="133"/>
      <c r="J357" s="133"/>
      <c r="K357" s="133"/>
      <c r="L357" s="133"/>
      <c r="M357" s="133"/>
      <c r="N357" s="133"/>
      <c r="O357" s="133"/>
    </row>
    <row r="358" spans="3:15">
      <c r="C358" s="133"/>
      <c r="D358" s="133"/>
      <c r="E358" s="133"/>
      <c r="F358" s="133"/>
      <c r="G358" s="133"/>
      <c r="H358" s="133"/>
      <c r="I358" s="133"/>
      <c r="J358" s="133"/>
      <c r="K358" s="133"/>
      <c r="L358" s="133"/>
      <c r="M358" s="133"/>
      <c r="N358" s="133"/>
      <c r="O358" s="133"/>
    </row>
    <row r="359" spans="3:15">
      <c r="C359" s="133"/>
      <c r="D359" s="133"/>
      <c r="E359" s="133"/>
      <c r="F359" s="133"/>
      <c r="G359" s="133"/>
      <c r="H359" s="133"/>
      <c r="I359" s="133"/>
      <c r="J359" s="133"/>
      <c r="K359" s="133"/>
      <c r="L359" s="133"/>
      <c r="M359" s="133"/>
      <c r="N359" s="133"/>
      <c r="O359" s="133"/>
    </row>
    <row r="360" spans="3:15">
      <c r="C360" s="133"/>
      <c r="D360" s="133"/>
      <c r="E360" s="133"/>
      <c r="F360" s="133"/>
      <c r="G360" s="133"/>
      <c r="H360" s="133"/>
      <c r="I360" s="133"/>
      <c r="J360" s="133"/>
      <c r="K360" s="133"/>
      <c r="L360" s="133"/>
      <c r="M360" s="133"/>
      <c r="N360" s="133"/>
      <c r="O360" s="133"/>
    </row>
    <row r="361" spans="3:15">
      <c r="C361" s="133"/>
      <c r="D361" s="133"/>
      <c r="E361" s="133"/>
      <c r="F361" s="133"/>
      <c r="G361" s="133"/>
      <c r="H361" s="133"/>
      <c r="I361" s="133"/>
      <c r="J361" s="133"/>
      <c r="K361" s="133"/>
      <c r="L361" s="133"/>
      <c r="M361" s="133"/>
      <c r="N361" s="133"/>
      <c r="O361" s="133"/>
    </row>
    <row r="362" spans="3:15">
      <c r="C362" s="133"/>
      <c r="D362" s="133"/>
      <c r="E362" s="133"/>
      <c r="F362" s="133"/>
      <c r="G362" s="133"/>
      <c r="H362" s="133"/>
      <c r="I362" s="133"/>
      <c r="J362" s="133"/>
      <c r="K362" s="133"/>
      <c r="L362" s="133"/>
      <c r="M362" s="133"/>
      <c r="N362" s="133"/>
      <c r="O362" s="133"/>
    </row>
    <row r="363" spans="3:15">
      <c r="C363" s="133"/>
      <c r="D363" s="133"/>
      <c r="E363" s="133"/>
      <c r="F363" s="133"/>
      <c r="G363" s="133"/>
      <c r="H363" s="133"/>
      <c r="I363" s="133"/>
      <c r="J363" s="133"/>
      <c r="K363" s="133"/>
      <c r="L363" s="133"/>
      <c r="M363" s="133"/>
      <c r="N363" s="133"/>
      <c r="O363" s="133"/>
    </row>
    <row r="364" spans="3:15">
      <c r="C364" s="133"/>
      <c r="D364" s="133"/>
      <c r="E364" s="133"/>
      <c r="F364" s="133"/>
      <c r="G364" s="133"/>
      <c r="H364" s="133"/>
      <c r="I364" s="133"/>
      <c r="J364" s="133"/>
      <c r="K364" s="133"/>
      <c r="L364" s="133"/>
      <c r="M364" s="133"/>
      <c r="N364" s="133"/>
      <c r="O364" s="133"/>
    </row>
    <row r="365" spans="3:15">
      <c r="C365" s="133"/>
      <c r="D365" s="133"/>
      <c r="E365" s="133"/>
      <c r="F365" s="133"/>
      <c r="G365" s="133"/>
      <c r="H365" s="133"/>
      <c r="I365" s="133"/>
      <c r="J365" s="133"/>
      <c r="K365" s="133"/>
      <c r="L365" s="133"/>
      <c r="M365" s="133"/>
      <c r="N365" s="133"/>
      <c r="O365" s="133"/>
    </row>
    <row r="366" spans="3:15">
      <c r="C366" s="133"/>
      <c r="D366" s="133"/>
      <c r="E366" s="133"/>
      <c r="F366" s="133"/>
      <c r="G366" s="133"/>
      <c r="H366" s="133"/>
      <c r="I366" s="133"/>
      <c r="J366" s="133"/>
      <c r="K366" s="133"/>
      <c r="L366" s="133"/>
      <c r="M366" s="133"/>
      <c r="N366" s="133"/>
      <c r="O366" s="133"/>
    </row>
    <row r="367" spans="3:15">
      <c r="C367" s="133"/>
      <c r="D367" s="133"/>
      <c r="E367" s="133"/>
      <c r="F367" s="133"/>
      <c r="G367" s="133"/>
      <c r="H367" s="133"/>
      <c r="I367" s="133"/>
      <c r="J367" s="133"/>
      <c r="K367" s="133"/>
      <c r="L367" s="133"/>
      <c r="M367" s="133"/>
      <c r="N367" s="133"/>
      <c r="O367" s="133"/>
    </row>
    <row r="368" spans="3:15">
      <c r="C368" s="133"/>
      <c r="D368" s="133"/>
      <c r="E368" s="133"/>
      <c r="F368" s="133"/>
      <c r="G368" s="133"/>
      <c r="H368" s="133"/>
      <c r="I368" s="133"/>
      <c r="J368" s="133"/>
      <c r="K368" s="133"/>
      <c r="L368" s="133"/>
      <c r="M368" s="133"/>
      <c r="N368" s="133"/>
      <c r="O368" s="133"/>
    </row>
    <row r="369" spans="3:15">
      <c r="C369" s="133"/>
      <c r="D369" s="133"/>
      <c r="E369" s="133"/>
      <c r="F369" s="133"/>
      <c r="G369" s="133"/>
      <c r="H369" s="133"/>
      <c r="I369" s="133"/>
      <c r="J369" s="133"/>
      <c r="K369" s="133"/>
      <c r="L369" s="133"/>
      <c r="M369" s="133"/>
      <c r="N369" s="133"/>
      <c r="O369" s="133"/>
    </row>
    <row r="370" spans="3:15">
      <c r="C370" s="133"/>
      <c r="D370" s="133"/>
      <c r="E370" s="133"/>
      <c r="F370" s="133"/>
      <c r="G370" s="133"/>
      <c r="H370" s="133"/>
      <c r="I370" s="133"/>
      <c r="J370" s="133"/>
      <c r="K370" s="133"/>
      <c r="L370" s="133"/>
      <c r="M370" s="133"/>
      <c r="N370" s="133"/>
      <c r="O370" s="133"/>
    </row>
    <row r="371" spans="3:15">
      <c r="C371" s="133"/>
      <c r="D371" s="133"/>
      <c r="E371" s="133"/>
      <c r="F371" s="133"/>
      <c r="G371" s="133"/>
      <c r="H371" s="133"/>
      <c r="I371" s="133"/>
      <c r="J371" s="133"/>
      <c r="K371" s="133"/>
      <c r="L371" s="133"/>
      <c r="M371" s="133"/>
      <c r="N371" s="133"/>
      <c r="O371" s="133"/>
    </row>
    <row r="372" spans="3:15">
      <c r="C372" s="133"/>
      <c r="D372" s="133"/>
      <c r="E372" s="133"/>
      <c r="F372" s="133"/>
      <c r="G372" s="133"/>
      <c r="H372" s="133"/>
      <c r="I372" s="133"/>
      <c r="J372" s="133"/>
      <c r="K372" s="133"/>
      <c r="L372" s="133"/>
      <c r="M372" s="133"/>
      <c r="N372" s="133"/>
      <c r="O372" s="133"/>
    </row>
    <row r="373" spans="3:15">
      <c r="C373" s="133"/>
      <c r="D373" s="133"/>
      <c r="E373" s="133"/>
      <c r="F373" s="133"/>
      <c r="G373" s="133"/>
      <c r="H373" s="133"/>
      <c r="I373" s="133"/>
      <c r="J373" s="133"/>
      <c r="K373" s="133"/>
      <c r="L373" s="133"/>
      <c r="M373" s="133"/>
      <c r="N373" s="133"/>
      <c r="O373" s="133"/>
    </row>
    <row r="374" spans="3:15">
      <c r="C374" s="133"/>
      <c r="D374" s="133"/>
      <c r="E374" s="133"/>
      <c r="F374" s="133"/>
      <c r="G374" s="133"/>
      <c r="H374" s="133"/>
      <c r="I374" s="133"/>
      <c r="J374" s="133"/>
      <c r="K374" s="133"/>
      <c r="L374" s="133"/>
      <c r="M374" s="133"/>
      <c r="N374" s="133"/>
      <c r="O374" s="133"/>
    </row>
    <row r="375" spans="3:15">
      <c r="C375" s="133"/>
      <c r="D375" s="133"/>
      <c r="E375" s="133"/>
      <c r="F375" s="133"/>
      <c r="G375" s="133"/>
      <c r="H375" s="133"/>
      <c r="I375" s="133"/>
      <c r="J375" s="133"/>
      <c r="K375" s="133"/>
      <c r="L375" s="133"/>
      <c r="M375" s="133"/>
      <c r="N375" s="133"/>
      <c r="O375" s="133"/>
    </row>
    <row r="376" spans="3:15">
      <c r="C376" s="133"/>
      <c r="D376" s="133"/>
      <c r="E376" s="133"/>
      <c r="F376" s="133"/>
      <c r="G376" s="133"/>
      <c r="H376" s="133"/>
      <c r="I376" s="133"/>
      <c r="J376" s="133"/>
      <c r="K376" s="133"/>
      <c r="L376" s="133"/>
      <c r="M376" s="133"/>
      <c r="N376" s="133"/>
      <c r="O376" s="133"/>
    </row>
    <row r="377" spans="3:15">
      <c r="C377" s="133"/>
      <c r="D377" s="133"/>
      <c r="E377" s="133"/>
      <c r="F377" s="133"/>
      <c r="G377" s="133"/>
      <c r="H377" s="133"/>
      <c r="I377" s="133"/>
      <c r="J377" s="133"/>
      <c r="K377" s="133"/>
      <c r="L377" s="133"/>
      <c r="M377" s="133"/>
      <c r="N377" s="133"/>
      <c r="O377" s="133"/>
    </row>
    <row r="378" spans="3:15">
      <c r="C378" s="133"/>
      <c r="D378" s="133"/>
      <c r="E378" s="133"/>
      <c r="F378" s="133"/>
      <c r="G378" s="133"/>
      <c r="H378" s="133"/>
      <c r="I378" s="133"/>
      <c r="J378" s="133"/>
      <c r="K378" s="133"/>
      <c r="L378" s="133"/>
      <c r="M378" s="133"/>
      <c r="N378" s="133"/>
      <c r="O378" s="133"/>
    </row>
    <row r="379" spans="3:15">
      <c r="C379" s="133"/>
      <c r="D379" s="133"/>
      <c r="E379" s="133"/>
      <c r="F379" s="133"/>
      <c r="G379" s="133"/>
      <c r="H379" s="133"/>
      <c r="I379" s="133"/>
      <c r="J379" s="133"/>
      <c r="K379" s="133"/>
      <c r="L379" s="133"/>
      <c r="M379" s="133"/>
      <c r="N379" s="133"/>
      <c r="O379" s="133"/>
    </row>
    <row r="380" spans="3:15">
      <c r="C380" s="133"/>
      <c r="D380" s="133"/>
      <c r="E380" s="133"/>
      <c r="F380" s="133"/>
      <c r="G380" s="133"/>
      <c r="H380" s="133"/>
      <c r="I380" s="133"/>
      <c r="J380" s="133"/>
      <c r="K380" s="133"/>
      <c r="L380" s="133"/>
      <c r="M380" s="133"/>
      <c r="N380" s="133"/>
      <c r="O380" s="133"/>
    </row>
  </sheetData>
  <sheetProtection algorithmName="SHA-512" hashValue="F74jLyobGOpf0V0VqOn4zjr/hexGsl+xicdeTyJRsPXkcBRz36nuPwXwUo7cGW58Z/vh/h4zSmHoiGRHZcgRWA==" saltValue="guj1JQE51hj4/gFhc+xbaQ==" spinCount="100000" sheet="1" objects="1" scenarios="1"/>
  <mergeCells count="61">
    <mergeCell ref="B67:D67"/>
    <mergeCell ref="B82:D82"/>
    <mergeCell ref="B83:D83"/>
    <mergeCell ref="C14:D14"/>
    <mergeCell ref="C15:D15"/>
    <mergeCell ref="C29:D29"/>
    <mergeCell ref="C30:D30"/>
    <mergeCell ref="C31:D31"/>
    <mergeCell ref="B66:D66"/>
    <mergeCell ref="B54:D54"/>
    <mergeCell ref="B55:D55"/>
    <mergeCell ref="I53:J53"/>
    <mergeCell ref="E54:F54"/>
    <mergeCell ref="I54:J54"/>
    <mergeCell ref="G54:H54"/>
    <mergeCell ref="I55:J55"/>
    <mergeCell ref="E81:F81"/>
    <mergeCell ref="I81:J81"/>
    <mergeCell ref="G81:H81"/>
    <mergeCell ref="E28:F28"/>
    <mergeCell ref="G28:H28"/>
    <mergeCell ref="I28:J28"/>
    <mergeCell ref="E65:F65"/>
    <mergeCell ref="G66:H66"/>
    <mergeCell ref="I66:J66"/>
    <mergeCell ref="E66:F66"/>
    <mergeCell ref="G55:H55"/>
    <mergeCell ref="E55:F55"/>
    <mergeCell ref="G65:H65"/>
    <mergeCell ref="I65:J65"/>
    <mergeCell ref="E53:F53"/>
    <mergeCell ref="G53:H53"/>
    <mergeCell ref="I11:J11"/>
    <mergeCell ref="I13:J13"/>
    <mergeCell ref="G15:H15"/>
    <mergeCell ref="I15:J15"/>
    <mergeCell ref="E15:F15"/>
    <mergeCell ref="G13:H13"/>
    <mergeCell ref="E11:F11"/>
    <mergeCell ref="C10:D10"/>
    <mergeCell ref="C11:D11"/>
    <mergeCell ref="G11:H11"/>
    <mergeCell ref="C12:D12"/>
    <mergeCell ref="C13:D13"/>
    <mergeCell ref="E13:F13"/>
    <mergeCell ref="D2:K3"/>
    <mergeCell ref="E5:F5"/>
    <mergeCell ref="G5:H5"/>
    <mergeCell ref="I5:J5"/>
    <mergeCell ref="C7:D7"/>
    <mergeCell ref="E7:F7"/>
    <mergeCell ref="G7:H7"/>
    <mergeCell ref="I7:J7"/>
    <mergeCell ref="C8:D8"/>
    <mergeCell ref="E8:F8"/>
    <mergeCell ref="G8:H8"/>
    <mergeCell ref="I8:J8"/>
    <mergeCell ref="E9:F9"/>
    <mergeCell ref="G9:H9"/>
    <mergeCell ref="I9:J9"/>
    <mergeCell ref="C9:D9"/>
  </mergeCells>
  <conditionalFormatting sqref="E30 G30 I30">
    <cfRule type="cellIs" dxfId="51" priority="23" operator="lessThanOrEqual">
      <formula>10</formula>
    </cfRule>
    <cfRule type="cellIs" dxfId="50" priority="24" operator="greaterThan">
      <formula>10</formula>
    </cfRule>
  </conditionalFormatting>
  <conditionalFormatting sqref="E66:J66">
    <cfRule type="cellIs" dxfId="49" priority="19" operator="lessThan">
      <formula>0</formula>
    </cfRule>
    <cfRule type="cellIs" dxfId="48" priority="20" operator="greaterThan">
      <formula>0</formula>
    </cfRule>
  </conditionalFormatting>
  <conditionalFormatting sqref="E29 G29 I29">
    <cfRule type="cellIs" dxfId="47" priority="17" operator="lessThanOrEqual">
      <formula>0.5</formula>
    </cfRule>
    <cfRule type="cellIs" dxfId="46" priority="18" operator="greaterThan">
      <formula>0.5</formula>
    </cfRule>
  </conditionalFormatting>
  <conditionalFormatting sqref="E31:E32 G31:G32 I31:I32">
    <cfRule type="cellIs" dxfId="45" priority="15" operator="lessThanOrEqual">
      <formula>0.3</formula>
    </cfRule>
    <cfRule type="cellIs" dxfId="44" priority="16" operator="greaterThan">
      <formula>0.3</formula>
    </cfRule>
  </conditionalFormatting>
  <conditionalFormatting sqref="E83">
    <cfRule type="cellIs" dxfId="43" priority="11" operator="greaterThan">
      <formula>$E$82</formula>
    </cfRule>
    <cfRule type="cellIs" dxfId="42" priority="14" operator="lessThan">
      <formula>$E$82</formula>
    </cfRule>
  </conditionalFormatting>
  <conditionalFormatting sqref="G83 I83">
    <cfRule type="cellIs" dxfId="41" priority="13" operator="greaterThan">
      <formula>45</formula>
    </cfRule>
  </conditionalFormatting>
  <conditionalFormatting sqref="I83 G83">
    <cfRule type="cellIs" dxfId="40" priority="12" operator="lessThan">
      <formula>45</formula>
    </cfRule>
  </conditionalFormatting>
  <conditionalFormatting sqref="E82">
    <cfRule type="cellIs" dxfId="39" priority="7" operator="greaterThan">
      <formula>$E$83</formula>
    </cfRule>
    <cfRule type="cellIs" dxfId="38" priority="8" operator="lessThan">
      <formula>$E$83</formula>
    </cfRule>
  </conditionalFormatting>
  <conditionalFormatting sqref="G82 I82">
    <cfRule type="cellIs" dxfId="37" priority="2" operator="between">
      <formula>20</formula>
      <formula>40</formula>
    </cfRule>
    <cfRule type="cellIs" dxfId="36" priority="5" operator="greaterThan">
      <formula>40</formula>
    </cfRule>
    <cfRule type="cellIs" dxfId="35" priority="6" operator="lessThan">
      <formula>20</formula>
    </cfRule>
  </conditionalFormatting>
  <conditionalFormatting sqref="E1:J1048576">
    <cfRule type="containsErrors" dxfId="34" priority="1">
      <formula>ISERROR(E1)</formula>
    </cfRule>
  </conditionalFormatting>
  <pageMargins left="0.7" right="0.7" top="0.75" bottom="0.75" header="0.3" footer="0.3"/>
  <pageSetup paperSize="9" scale="42" orientation="portrait" r:id="rId1"/>
  <rowBreaks count="1" manualBreakCount="1">
    <brk id="63" min="1" max="12" man="1"/>
  </rowBreaks>
  <colBreaks count="1" manualBreakCount="1">
    <brk id="13" max="41" man="1"/>
  </colBreaks>
  <ignoredErrors>
    <ignoredError sqref="E8 G8 I8 E10 E12 E14 G10 G12 G14 I10 I12 I14 G82:G83 E82:E83 I82:I83 E67 E29:E32 G30 I30 G32 I32 E54:J55" evalError="1"/>
    <ignoredError sqref="E5:J5 E28:J28 E65:J65 G81 E81 I81" unlockedFormula="1"/>
    <ignoredError sqref="G67 I67 G29 G31 I31 I29" evalError="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FFFF00"/>
    <pageSetUpPr fitToPage="1"/>
  </sheetPr>
  <dimension ref="B1:N702"/>
  <sheetViews>
    <sheetView view="pageBreakPreview" zoomScale="90" zoomScaleNormal="100" zoomScaleSheetLayoutView="90" workbookViewId="0">
      <selection activeCell="C24" sqref="C24"/>
    </sheetView>
  </sheetViews>
  <sheetFormatPr baseColWidth="10" defaultRowHeight="16.5"/>
  <cols>
    <col min="1" max="1" width="5.7109375" style="133" customWidth="1"/>
    <col min="2" max="2" width="21.42578125" style="133" customWidth="1"/>
    <col min="3" max="3" width="11.42578125" style="133"/>
    <col min="4" max="4" width="12" style="133" customWidth="1"/>
    <col min="5" max="5" width="13.42578125" style="133" customWidth="1"/>
    <col min="6" max="6" width="13.140625" style="133" customWidth="1"/>
    <col min="7" max="7" width="11.42578125" style="133"/>
    <col min="8" max="8" width="21.5703125" style="133" customWidth="1"/>
    <col min="9" max="9" width="29.7109375" style="133" customWidth="1"/>
    <col min="10" max="16384" width="11.42578125" style="133"/>
  </cols>
  <sheetData>
    <row r="1" spans="2:11" ht="5.0999999999999996" customHeight="1" thickBot="1"/>
    <row r="2" spans="2:11" ht="24.95" customHeight="1" thickBot="1">
      <c r="B2" s="224" t="s">
        <v>608</v>
      </c>
      <c r="C2" s="1721" t="s">
        <v>382</v>
      </c>
      <c r="D2" s="1721"/>
      <c r="E2" s="1721"/>
      <c r="F2" s="1721"/>
      <c r="G2" s="1721"/>
      <c r="H2" s="1721"/>
      <c r="I2" s="1721"/>
      <c r="J2" s="225"/>
      <c r="K2" s="225"/>
    </row>
    <row r="3" spans="2:11" ht="17.25" thickBot="1">
      <c r="B3" s="226" t="s">
        <v>206</v>
      </c>
      <c r="C3" s="1722" t="s">
        <v>198</v>
      </c>
      <c r="D3" s="1722"/>
      <c r="E3" s="1722"/>
      <c r="F3" s="1722"/>
      <c r="G3" s="1722"/>
      <c r="H3" s="1722"/>
      <c r="I3" s="1722"/>
    </row>
    <row r="4" spans="2:11" ht="18" thickBot="1">
      <c r="B4" s="227" t="s">
        <v>147</v>
      </c>
      <c r="C4" s="1661" t="s">
        <v>617</v>
      </c>
      <c r="D4" s="1661"/>
      <c r="E4" s="1661"/>
      <c r="F4" s="1661"/>
      <c r="G4" s="1661"/>
      <c r="H4" s="1661"/>
      <c r="I4" s="1661"/>
    </row>
    <row r="5" spans="2:11" s="121" customFormat="1" ht="17.25" thickBot="1">
      <c r="B5" s="228" t="s">
        <v>220</v>
      </c>
      <c r="C5" s="1713" t="s">
        <v>222</v>
      </c>
      <c r="D5" s="1713"/>
      <c r="E5" s="1713"/>
      <c r="F5" s="1713"/>
      <c r="G5" s="1713"/>
      <c r="H5" s="1713"/>
      <c r="I5" s="1714"/>
    </row>
    <row r="6" spans="2:11" ht="5.0999999999999996" customHeight="1">
      <c r="B6" s="229"/>
      <c r="C6" s="230"/>
      <c r="D6" s="230"/>
      <c r="E6" s="230"/>
      <c r="F6" s="230"/>
      <c r="G6" s="230"/>
      <c r="H6" s="230"/>
      <c r="I6" s="231"/>
    </row>
    <row r="7" spans="2:11" s="236" customFormat="1">
      <c r="B7" s="232" t="s">
        <v>148</v>
      </c>
      <c r="C7" s="1723" t="s">
        <v>189</v>
      </c>
      <c r="D7" s="1723"/>
      <c r="E7" s="885" t="s">
        <v>37</v>
      </c>
      <c r="F7" s="233"/>
      <c r="G7" s="234"/>
      <c r="H7" s="889"/>
      <c r="I7" s="235"/>
    </row>
    <row r="8" spans="2:11">
      <c r="B8" s="237"/>
      <c r="C8" s="1724" t="s">
        <v>172</v>
      </c>
      <c r="D8" s="1725"/>
      <c r="E8" s="1724" t="s">
        <v>173</v>
      </c>
      <c r="F8" s="1725"/>
      <c r="G8" s="238"/>
      <c r="H8" s="889"/>
      <c r="I8" s="239"/>
    </row>
    <row r="9" spans="2:11">
      <c r="B9" s="237"/>
      <c r="C9" s="1725"/>
      <c r="D9" s="1725"/>
      <c r="E9" s="1725"/>
      <c r="F9" s="1725"/>
      <c r="G9" s="238"/>
      <c r="H9" s="238"/>
      <c r="I9" s="240"/>
    </row>
    <row r="10" spans="2:11" ht="8.1" customHeight="1">
      <c r="B10" s="237"/>
      <c r="C10" s="886"/>
      <c r="D10" s="886"/>
      <c r="E10" s="886"/>
      <c r="F10" s="886"/>
      <c r="G10" s="238"/>
      <c r="H10" s="238"/>
      <c r="I10" s="240"/>
    </row>
    <row r="11" spans="2:11" ht="16.5" customHeight="1">
      <c r="B11" s="1669" t="s">
        <v>153</v>
      </c>
      <c r="C11" s="1729" t="s">
        <v>36</v>
      </c>
      <c r="D11" s="1729"/>
      <c r="E11" s="241"/>
      <c r="F11" s="886"/>
      <c r="G11" s="238"/>
      <c r="H11" s="238"/>
      <c r="I11" s="240"/>
    </row>
    <row r="12" spans="2:11" ht="16.5" customHeight="1">
      <c r="B12" s="1669"/>
      <c r="C12" s="1710" t="s">
        <v>37</v>
      </c>
      <c r="D12" s="1710"/>
      <c r="E12" s="870"/>
      <c r="F12" s="886"/>
      <c r="G12" s="238"/>
      <c r="H12" s="238"/>
      <c r="I12" s="240"/>
    </row>
    <row r="13" spans="2:11" ht="8.1" customHeight="1">
      <c r="B13" s="908"/>
      <c r="C13" s="870"/>
      <c r="D13" s="870"/>
      <c r="E13" s="870"/>
      <c r="F13" s="886"/>
      <c r="G13" s="238"/>
      <c r="H13" s="238"/>
      <c r="I13" s="240"/>
    </row>
    <row r="14" spans="2:11" ht="16.5" customHeight="1">
      <c r="B14" s="242" t="s">
        <v>356</v>
      </c>
      <c r="C14" s="1598" t="s">
        <v>618</v>
      </c>
      <c r="D14" s="1598"/>
      <c r="E14" s="1598"/>
      <c r="F14" s="1598"/>
      <c r="G14" s="1598"/>
      <c r="H14" s="1598"/>
      <c r="I14" s="1662"/>
    </row>
    <row r="15" spans="2:11" ht="16.5" customHeight="1">
      <c r="B15" s="237"/>
      <c r="C15" s="1598"/>
      <c r="D15" s="1598"/>
      <c r="E15" s="1598"/>
      <c r="F15" s="1598"/>
      <c r="G15" s="1598"/>
      <c r="H15" s="1598"/>
      <c r="I15" s="1662"/>
    </row>
    <row r="16" spans="2:11" ht="16.5" customHeight="1">
      <c r="B16" s="237"/>
      <c r="C16" s="1598"/>
      <c r="D16" s="1598"/>
      <c r="E16" s="1598"/>
      <c r="F16" s="1598"/>
      <c r="G16" s="1598"/>
      <c r="H16" s="1598"/>
      <c r="I16" s="1662"/>
    </row>
    <row r="17" spans="2:9" ht="16.5" customHeight="1">
      <c r="B17" s="237"/>
      <c r="C17" s="1598"/>
      <c r="D17" s="1598"/>
      <c r="E17" s="1598"/>
      <c r="F17" s="1598"/>
      <c r="G17" s="1598"/>
      <c r="H17" s="1598"/>
      <c r="I17" s="1662"/>
    </row>
    <row r="18" spans="2:9" ht="16.5" customHeight="1">
      <c r="B18" s="237"/>
      <c r="C18" s="1598"/>
      <c r="D18" s="1598"/>
      <c r="E18" s="1598"/>
      <c r="F18" s="1598"/>
      <c r="G18" s="1598"/>
      <c r="H18" s="1598"/>
      <c r="I18" s="1662"/>
    </row>
    <row r="19" spans="2:9" ht="16.5" customHeight="1">
      <c r="B19" s="237"/>
      <c r="C19" s="1598"/>
      <c r="D19" s="1598"/>
      <c r="E19" s="1598"/>
      <c r="F19" s="1598"/>
      <c r="G19" s="1598"/>
      <c r="H19" s="1598"/>
      <c r="I19" s="1662"/>
    </row>
    <row r="20" spans="2:9" ht="16.5" customHeight="1">
      <c r="B20" s="237"/>
      <c r="C20" s="1598"/>
      <c r="D20" s="1598"/>
      <c r="E20" s="1598"/>
      <c r="F20" s="1598"/>
      <c r="G20" s="1598"/>
      <c r="H20" s="1598"/>
      <c r="I20" s="1662"/>
    </row>
    <row r="21" spans="2:9" ht="16.5" customHeight="1">
      <c r="B21" s="237"/>
      <c r="C21" s="1598"/>
      <c r="D21" s="1598"/>
      <c r="E21" s="1598"/>
      <c r="F21" s="1598"/>
      <c r="G21" s="1598"/>
      <c r="H21" s="1598"/>
      <c r="I21" s="1662"/>
    </row>
    <row r="22" spans="2:9" ht="66.75" customHeight="1">
      <c r="B22" s="243" t="s">
        <v>149</v>
      </c>
      <c r="C22" s="1663" t="s">
        <v>673</v>
      </c>
      <c r="D22" s="1663"/>
      <c r="E22" s="1663"/>
      <c r="F22" s="1663"/>
      <c r="G22" s="1663"/>
      <c r="H22" s="1663"/>
      <c r="I22" s="1664"/>
    </row>
    <row r="23" spans="2:9" ht="5.0999999999999996" customHeight="1">
      <c r="B23" s="237"/>
      <c r="C23" s="886"/>
      <c r="D23" s="886"/>
      <c r="E23" s="886"/>
      <c r="F23" s="886"/>
      <c r="G23" s="238"/>
      <c r="H23" s="238"/>
      <c r="I23" s="240"/>
    </row>
    <row r="24" spans="2:9">
      <c r="B24" s="908" t="s">
        <v>150</v>
      </c>
      <c r="C24" s="854" t="s">
        <v>152</v>
      </c>
      <c r="D24" s="886"/>
      <c r="E24" s="886"/>
      <c r="F24" s="886"/>
      <c r="G24" s="238"/>
      <c r="H24" s="238"/>
      <c r="I24" s="240"/>
    </row>
    <row r="25" spans="2:9" ht="16.5" customHeight="1">
      <c r="B25" s="908"/>
      <c r="C25" s="1598" t="s">
        <v>193</v>
      </c>
      <c r="D25" s="1598"/>
      <c r="E25" s="1598"/>
      <c r="F25" s="1598"/>
      <c r="G25" s="1598"/>
      <c r="H25" s="1598"/>
      <c r="I25" s="1662"/>
    </row>
    <row r="26" spans="2:9">
      <c r="B26" s="908"/>
      <c r="C26" s="1598"/>
      <c r="D26" s="1598"/>
      <c r="E26" s="1598"/>
      <c r="F26" s="1598"/>
      <c r="G26" s="1598"/>
      <c r="H26" s="1598"/>
      <c r="I26" s="1662"/>
    </row>
    <row r="27" spans="2:9" s="244" customFormat="1" ht="12" customHeight="1">
      <c r="B27" s="242"/>
      <c r="C27" s="1598"/>
      <c r="D27" s="1598"/>
      <c r="E27" s="1598"/>
      <c r="F27" s="1598"/>
      <c r="G27" s="1598"/>
      <c r="H27" s="1598"/>
      <c r="I27" s="1662"/>
    </row>
    <row r="28" spans="2:9" ht="5.0999999999999996" customHeight="1">
      <c r="B28" s="908"/>
      <c r="C28" s="910"/>
      <c r="D28" s="886"/>
      <c r="E28" s="886"/>
      <c r="F28" s="886"/>
      <c r="G28" s="238"/>
      <c r="H28" s="238"/>
      <c r="I28" s="240"/>
    </row>
    <row r="29" spans="2:9">
      <c r="B29" s="908" t="s">
        <v>151</v>
      </c>
      <c r="C29" s="864" t="s">
        <v>174</v>
      </c>
      <c r="D29" s="886"/>
      <c r="E29" s="886"/>
      <c r="F29" s="886"/>
      <c r="G29" s="238"/>
      <c r="H29" s="238"/>
      <c r="I29" s="240"/>
    </row>
    <row r="30" spans="2:9" ht="16.5" customHeight="1">
      <c r="B30" s="908"/>
      <c r="C30" s="245" t="s">
        <v>619</v>
      </c>
      <c r="D30" s="886"/>
      <c r="E30" s="886"/>
      <c r="F30" s="886"/>
      <c r="G30" s="238"/>
      <c r="H30" s="238"/>
      <c r="I30" s="240"/>
    </row>
    <row r="31" spans="2:9" ht="16.5" customHeight="1">
      <c r="B31" s="908"/>
      <c r="C31" s="1598" t="s">
        <v>154</v>
      </c>
      <c r="D31" s="1598"/>
      <c r="E31" s="1598"/>
      <c r="F31" s="1598"/>
      <c r="G31" s="1598"/>
      <c r="H31" s="1598"/>
      <c r="I31" s="1662"/>
    </row>
    <row r="32" spans="2:9" ht="3" customHeight="1">
      <c r="B32" s="908"/>
      <c r="C32" s="865"/>
      <c r="D32" s="865"/>
      <c r="E32" s="865"/>
      <c r="F32" s="865"/>
      <c r="G32" s="865"/>
      <c r="H32" s="865"/>
      <c r="I32" s="874"/>
    </row>
    <row r="33" spans="2:9" ht="29.25" customHeight="1">
      <c r="B33" s="246"/>
      <c r="C33" s="1730" t="s">
        <v>386</v>
      </c>
      <c r="D33" s="1598"/>
      <c r="E33" s="1598"/>
      <c r="F33" s="1598"/>
      <c r="G33" s="1598"/>
      <c r="H33" s="1598"/>
      <c r="I33" s="1662"/>
    </row>
    <row r="34" spans="2:9" ht="3" customHeight="1">
      <c r="B34" s="246"/>
      <c r="C34" s="865"/>
      <c r="D34" s="865"/>
      <c r="E34" s="865"/>
      <c r="F34" s="865"/>
      <c r="G34" s="865"/>
      <c r="H34" s="865"/>
      <c r="I34" s="874"/>
    </row>
    <row r="35" spans="2:9" ht="28.5" customHeight="1">
      <c r="B35" s="246"/>
      <c r="C35" s="1730" t="s">
        <v>620</v>
      </c>
      <c r="D35" s="1598"/>
      <c r="E35" s="1598"/>
      <c r="F35" s="1598"/>
      <c r="G35" s="1598"/>
      <c r="H35" s="1598"/>
      <c r="I35" s="1662"/>
    </row>
    <row r="36" spans="2:9" ht="5.0999999999999996" customHeight="1" thickBot="1">
      <c r="B36" s="247"/>
      <c r="C36" s="248"/>
      <c r="D36" s="248"/>
      <c r="E36" s="248"/>
      <c r="F36" s="248"/>
      <c r="G36" s="248"/>
      <c r="H36" s="248"/>
      <c r="I36" s="249"/>
    </row>
    <row r="37" spans="2:9" ht="17.25" customHeight="1" thickBot="1">
      <c r="B37" s="120"/>
      <c r="C37" s="120"/>
      <c r="D37" s="120"/>
      <c r="E37" s="120"/>
      <c r="F37" s="120"/>
      <c r="G37" s="120"/>
      <c r="H37" s="120"/>
      <c r="I37" s="120"/>
    </row>
    <row r="38" spans="2:9" ht="17.25" customHeight="1" thickBot="1">
      <c r="B38" s="224" t="s">
        <v>608</v>
      </c>
      <c r="C38" s="1721" t="s">
        <v>382</v>
      </c>
      <c r="D38" s="1721"/>
      <c r="E38" s="1721"/>
      <c r="F38" s="1721"/>
      <c r="G38" s="1721"/>
      <c r="H38" s="1721"/>
      <c r="I38" s="1721"/>
    </row>
    <row r="39" spans="2:9" ht="17.25" customHeight="1" thickBot="1">
      <c r="B39" s="226" t="s">
        <v>206</v>
      </c>
      <c r="C39" s="1722" t="s">
        <v>198</v>
      </c>
      <c r="D39" s="1722"/>
      <c r="E39" s="1722"/>
      <c r="F39" s="1722"/>
      <c r="G39" s="1722"/>
      <c r="H39" s="1722"/>
      <c r="I39" s="1722"/>
    </row>
    <row r="40" spans="2:9" ht="17.25" customHeight="1" thickBot="1">
      <c r="B40" s="227" t="s">
        <v>147</v>
      </c>
      <c r="C40" s="1661" t="s">
        <v>629</v>
      </c>
      <c r="D40" s="1661"/>
      <c r="E40" s="1661"/>
      <c r="F40" s="1661"/>
      <c r="G40" s="1661"/>
      <c r="H40" s="1661"/>
      <c r="I40" s="1661"/>
    </row>
    <row r="41" spans="2:9" ht="17.25" customHeight="1" thickBot="1">
      <c r="B41" s="228" t="s">
        <v>220</v>
      </c>
      <c r="C41" s="1713" t="s">
        <v>222</v>
      </c>
      <c r="D41" s="1713"/>
      <c r="E41" s="1713"/>
      <c r="F41" s="1713"/>
      <c r="G41" s="1713"/>
      <c r="H41" s="1713"/>
      <c r="I41" s="1714"/>
    </row>
    <row r="42" spans="2:9" ht="5.0999999999999996" customHeight="1">
      <c r="B42" s="250"/>
      <c r="C42" s="251"/>
      <c r="D42" s="251"/>
      <c r="E42" s="251"/>
      <c r="F42" s="251"/>
      <c r="G42" s="251"/>
      <c r="H42" s="251"/>
      <c r="I42" s="252"/>
    </row>
    <row r="43" spans="2:9" ht="17.25" customHeight="1">
      <c r="B43" s="1656" t="s">
        <v>148</v>
      </c>
      <c r="C43" s="1712" t="s">
        <v>380</v>
      </c>
      <c r="D43" s="1712"/>
      <c r="E43" s="1712"/>
      <c r="F43" s="1728"/>
      <c r="G43" s="1728"/>
      <c r="H43" s="1728"/>
      <c r="I43" s="253"/>
    </row>
    <row r="44" spans="2:9" ht="17.25" customHeight="1">
      <c r="B44" s="1656"/>
      <c r="C44" s="1655" t="s">
        <v>630</v>
      </c>
      <c r="D44" s="1655"/>
      <c r="E44" s="1655"/>
      <c r="F44" s="145"/>
      <c r="G44" s="145"/>
      <c r="H44" s="145"/>
      <c r="I44" s="253"/>
    </row>
    <row r="45" spans="2:9" ht="12" customHeight="1">
      <c r="B45" s="237"/>
      <c r="C45" s="145"/>
      <c r="D45" s="145"/>
      <c r="E45" s="145"/>
      <c r="F45" s="145"/>
      <c r="G45" s="145"/>
      <c r="H45" s="145"/>
      <c r="I45" s="253"/>
    </row>
    <row r="46" spans="2:9" ht="17.25" customHeight="1">
      <c r="B46" s="243" t="s">
        <v>357</v>
      </c>
      <c r="C46" s="1630" t="s">
        <v>815</v>
      </c>
      <c r="D46" s="1598"/>
      <c r="E46" s="1598"/>
      <c r="F46" s="1598"/>
      <c r="G46" s="1598"/>
      <c r="H46" s="1598"/>
      <c r="I46" s="1662"/>
    </row>
    <row r="47" spans="2:9" ht="17.25" customHeight="1">
      <c r="B47" s="254"/>
      <c r="C47" s="1598"/>
      <c r="D47" s="1598"/>
      <c r="E47" s="1598"/>
      <c r="F47" s="1598"/>
      <c r="G47" s="1598"/>
      <c r="H47" s="1598"/>
      <c r="I47" s="1662"/>
    </row>
    <row r="48" spans="2:9" ht="17.25" customHeight="1">
      <c r="B48" s="254"/>
      <c r="C48" s="1598"/>
      <c r="D48" s="1598"/>
      <c r="E48" s="1598"/>
      <c r="F48" s="1598"/>
      <c r="G48" s="1598"/>
      <c r="H48" s="1598"/>
      <c r="I48" s="1662"/>
    </row>
    <row r="49" spans="2:9" ht="17.25" customHeight="1">
      <c r="B49" s="254"/>
      <c r="C49" s="1598"/>
      <c r="D49" s="1598"/>
      <c r="E49" s="1598"/>
      <c r="F49" s="1598"/>
      <c r="G49" s="1598"/>
      <c r="H49" s="1598"/>
      <c r="I49" s="1662"/>
    </row>
    <row r="50" spans="2:9" ht="9.9499999999999993" customHeight="1">
      <c r="B50" s="237"/>
      <c r="C50" s="241"/>
      <c r="D50" s="241"/>
      <c r="E50" s="241"/>
      <c r="F50" s="241"/>
      <c r="G50" s="241"/>
      <c r="H50" s="241"/>
      <c r="I50" s="255"/>
    </row>
    <row r="51" spans="2:9" ht="17.25" customHeight="1">
      <c r="B51" s="243" t="s">
        <v>149</v>
      </c>
      <c r="C51" s="1663" t="s">
        <v>631</v>
      </c>
      <c r="D51" s="1663"/>
      <c r="E51" s="1663"/>
      <c r="F51" s="1663"/>
      <c r="G51" s="1663"/>
      <c r="H51" s="1663"/>
      <c r="I51" s="1664"/>
    </row>
    <row r="52" spans="2:9" ht="39" customHeight="1">
      <c r="B52" s="254"/>
      <c r="C52" s="1663"/>
      <c r="D52" s="1663"/>
      <c r="E52" s="1663"/>
      <c r="F52" s="1663"/>
      <c r="G52" s="1663"/>
      <c r="H52" s="1663"/>
      <c r="I52" s="1664"/>
    </row>
    <row r="53" spans="2:9" ht="5.0999999999999996" customHeight="1">
      <c r="B53" s="237"/>
      <c r="C53" s="130"/>
      <c r="D53" s="130"/>
      <c r="E53" s="130"/>
      <c r="F53" s="130"/>
      <c r="G53" s="130"/>
      <c r="H53" s="130"/>
      <c r="I53" s="253"/>
    </row>
    <row r="54" spans="2:9" ht="17.25" customHeight="1">
      <c r="B54" s="242" t="s">
        <v>150</v>
      </c>
      <c r="C54" s="1598" t="s">
        <v>632</v>
      </c>
      <c r="D54" s="1598"/>
      <c r="E54" s="1598"/>
      <c r="F54" s="1598"/>
      <c r="G54" s="1598"/>
      <c r="H54" s="1598"/>
      <c r="I54" s="1662"/>
    </row>
    <row r="55" spans="2:9" ht="17.25" customHeight="1">
      <c r="B55" s="242"/>
      <c r="C55" s="1598"/>
      <c r="D55" s="1598"/>
      <c r="E55" s="1598"/>
      <c r="F55" s="1598"/>
      <c r="G55" s="1598"/>
      <c r="H55" s="1598"/>
      <c r="I55" s="1662"/>
    </row>
    <row r="56" spans="2:9" ht="17.25" customHeight="1">
      <c r="B56" s="242"/>
      <c r="C56" s="1598"/>
      <c r="D56" s="1598"/>
      <c r="E56" s="1598"/>
      <c r="F56" s="1598"/>
      <c r="G56" s="1598"/>
      <c r="H56" s="1598"/>
      <c r="I56" s="1662"/>
    </row>
    <row r="57" spans="2:9" ht="17.25" customHeight="1">
      <c r="B57" s="908" t="s">
        <v>151</v>
      </c>
      <c r="C57" s="1726" t="s">
        <v>633</v>
      </c>
      <c r="D57" s="1726"/>
      <c r="E57" s="1726"/>
      <c r="F57" s="1726"/>
      <c r="G57" s="1726"/>
      <c r="H57" s="1726"/>
      <c r="I57" s="1727"/>
    </row>
    <row r="58" spans="2:9" ht="17.25" customHeight="1">
      <c r="B58" s="257"/>
      <c r="C58" s="1726"/>
      <c r="D58" s="1726"/>
      <c r="E58" s="1726"/>
      <c r="F58" s="1726"/>
      <c r="G58" s="1726"/>
      <c r="H58" s="1726"/>
      <c r="I58" s="1727"/>
    </row>
    <row r="59" spans="2:9" ht="5.0999999999999996" customHeight="1" thickBot="1">
      <c r="B59" s="247"/>
      <c r="C59" s="562"/>
      <c r="D59" s="562"/>
      <c r="E59" s="562"/>
      <c r="F59" s="562"/>
      <c r="G59" s="562"/>
      <c r="H59" s="562"/>
      <c r="I59" s="563"/>
    </row>
    <row r="60" spans="2:9" ht="17.25" customHeight="1" thickBot="1"/>
    <row r="61" spans="2:9" ht="24.95" customHeight="1" thickBot="1">
      <c r="B61" s="224" t="s">
        <v>608</v>
      </c>
      <c r="C61" s="1721" t="s">
        <v>382</v>
      </c>
      <c r="D61" s="1721"/>
      <c r="E61" s="1721"/>
      <c r="F61" s="1721"/>
      <c r="G61" s="1721"/>
      <c r="H61" s="1721"/>
      <c r="I61" s="1721"/>
    </row>
    <row r="62" spans="2:9" ht="17.25" thickBot="1">
      <c r="B62" s="226" t="s">
        <v>206</v>
      </c>
      <c r="C62" s="1722" t="s">
        <v>198</v>
      </c>
      <c r="D62" s="1722"/>
      <c r="E62" s="1722"/>
      <c r="F62" s="1722"/>
      <c r="G62" s="1722"/>
      <c r="H62" s="1722"/>
      <c r="I62" s="1722"/>
    </row>
    <row r="63" spans="2:9" ht="18" thickBot="1">
      <c r="B63" s="227" t="s">
        <v>147</v>
      </c>
      <c r="C63" s="1661" t="s">
        <v>621</v>
      </c>
      <c r="D63" s="1661"/>
      <c r="E63" s="1661"/>
      <c r="F63" s="1661"/>
      <c r="G63" s="1661"/>
      <c r="H63" s="1661"/>
      <c r="I63" s="1661"/>
    </row>
    <row r="64" spans="2:9" ht="17.25" thickBot="1">
      <c r="B64" s="228" t="s">
        <v>220</v>
      </c>
      <c r="C64" s="1713" t="s">
        <v>222</v>
      </c>
      <c r="D64" s="1713"/>
      <c r="E64" s="1713"/>
      <c r="F64" s="1713"/>
      <c r="G64" s="1713"/>
      <c r="H64" s="1713"/>
      <c r="I64" s="1714"/>
    </row>
    <row r="65" spans="2:9" ht="5.0999999999999996" customHeight="1">
      <c r="B65" s="250"/>
      <c r="C65" s="251"/>
      <c r="D65" s="251"/>
      <c r="E65" s="251"/>
      <c r="F65" s="251"/>
      <c r="G65" s="251"/>
      <c r="H65" s="251"/>
      <c r="I65" s="252"/>
    </row>
    <row r="66" spans="2:9">
      <c r="B66" s="908" t="s">
        <v>148</v>
      </c>
      <c r="C66" s="1728" t="s">
        <v>188</v>
      </c>
      <c r="D66" s="1728"/>
      <c r="E66" s="1728"/>
      <c r="F66" s="1728" t="s">
        <v>56</v>
      </c>
      <c r="G66" s="1728"/>
      <c r="H66" s="1728"/>
      <c r="I66" s="253"/>
    </row>
    <row r="67" spans="2:9">
      <c r="B67" s="237"/>
      <c r="C67" s="886" t="s">
        <v>39</v>
      </c>
      <c r="D67" s="145"/>
      <c r="E67" s="145"/>
      <c r="F67" s="886" t="s">
        <v>41</v>
      </c>
      <c r="G67" s="145"/>
      <c r="H67" s="145"/>
      <c r="I67" s="253"/>
    </row>
    <row r="68" spans="2:9" ht="12" customHeight="1">
      <c r="B68" s="254"/>
      <c r="C68" s="889"/>
      <c r="D68" s="889"/>
      <c r="E68" s="889"/>
      <c r="F68" s="145"/>
      <c r="G68" s="145"/>
      <c r="H68" s="145"/>
      <c r="I68" s="253"/>
    </row>
    <row r="69" spans="2:9" ht="16.5" customHeight="1">
      <c r="B69" s="243" t="s">
        <v>357</v>
      </c>
      <c r="C69" s="1598" t="s">
        <v>622</v>
      </c>
      <c r="D69" s="1598"/>
      <c r="E69" s="1598"/>
      <c r="F69" s="1598"/>
      <c r="G69" s="1598"/>
      <c r="H69" s="1598"/>
      <c r="I69" s="1662"/>
    </row>
    <row r="70" spans="2:9">
      <c r="B70" s="254"/>
      <c r="C70" s="1598"/>
      <c r="D70" s="1598"/>
      <c r="E70" s="1598"/>
      <c r="F70" s="1598"/>
      <c r="G70" s="1598"/>
      <c r="H70" s="1598"/>
      <c r="I70" s="1662"/>
    </row>
    <row r="71" spans="2:9">
      <c r="B71" s="254"/>
      <c r="C71" s="1598"/>
      <c r="D71" s="1598"/>
      <c r="E71" s="1598"/>
      <c r="F71" s="1598"/>
      <c r="G71" s="1598"/>
      <c r="H71" s="1598"/>
      <c r="I71" s="1662"/>
    </row>
    <row r="72" spans="2:9" ht="16.5" customHeight="1">
      <c r="B72" s="254"/>
      <c r="C72" s="1598"/>
      <c r="D72" s="1598"/>
      <c r="E72" s="1598"/>
      <c r="F72" s="1598"/>
      <c r="G72" s="1598"/>
      <c r="H72" s="1598"/>
      <c r="I72" s="1662"/>
    </row>
    <row r="73" spans="2:9" ht="16.5" customHeight="1">
      <c r="B73" s="254"/>
      <c r="C73" s="1598"/>
      <c r="D73" s="1598"/>
      <c r="E73" s="1598"/>
      <c r="F73" s="1598"/>
      <c r="G73" s="1598"/>
      <c r="H73" s="1598"/>
      <c r="I73" s="1662"/>
    </row>
    <row r="74" spans="2:9" ht="16.5" customHeight="1">
      <c r="B74" s="254"/>
      <c r="C74" s="1598"/>
      <c r="D74" s="1598"/>
      <c r="E74" s="1598"/>
      <c r="F74" s="1598"/>
      <c r="G74" s="1598"/>
      <c r="H74" s="1598"/>
      <c r="I74" s="1662"/>
    </row>
    <row r="75" spans="2:9" ht="16.5" customHeight="1">
      <c r="B75" s="254"/>
      <c r="C75" s="1598"/>
      <c r="D75" s="1598"/>
      <c r="E75" s="1598"/>
      <c r="F75" s="1598"/>
      <c r="G75" s="1598"/>
      <c r="H75" s="1598"/>
      <c r="I75" s="1662"/>
    </row>
    <row r="76" spans="2:9" ht="9.9499999999999993" customHeight="1">
      <c r="B76" s="237"/>
      <c r="C76" s="241"/>
      <c r="D76" s="241"/>
      <c r="E76" s="241"/>
      <c r="F76" s="241"/>
      <c r="G76" s="241"/>
      <c r="H76" s="241"/>
      <c r="I76" s="255"/>
    </row>
    <row r="77" spans="2:9">
      <c r="B77" s="243" t="s">
        <v>149</v>
      </c>
      <c r="C77" s="1663" t="s">
        <v>661</v>
      </c>
      <c r="D77" s="1663"/>
      <c r="E77" s="1663"/>
      <c r="F77" s="1663"/>
      <c r="G77" s="1663"/>
      <c r="H77" s="1663"/>
      <c r="I77" s="1664"/>
    </row>
    <row r="78" spans="2:9" ht="24.75" customHeight="1">
      <c r="B78" s="254"/>
      <c r="C78" s="1663"/>
      <c r="D78" s="1663"/>
      <c r="E78" s="1663"/>
      <c r="F78" s="1663"/>
      <c r="G78" s="1663"/>
      <c r="H78" s="1663"/>
      <c r="I78" s="1664"/>
    </row>
    <row r="79" spans="2:9" ht="9.9499999999999993" customHeight="1">
      <c r="B79" s="237"/>
      <c r="C79" s="130"/>
      <c r="D79" s="130"/>
      <c r="E79" s="130"/>
      <c r="F79" s="130"/>
      <c r="G79" s="130"/>
      <c r="H79" s="130"/>
      <c r="I79" s="253"/>
    </row>
    <row r="80" spans="2:9" ht="82.5" customHeight="1">
      <c r="B80" s="242" t="s">
        <v>150</v>
      </c>
      <c r="C80" s="1598" t="s">
        <v>571</v>
      </c>
      <c r="D80" s="1598"/>
      <c r="E80" s="1598"/>
      <c r="F80" s="1598"/>
      <c r="G80" s="1598"/>
      <c r="H80" s="1598"/>
      <c r="I80" s="1662"/>
    </row>
    <row r="81" spans="2:9" ht="9.9499999999999993" customHeight="1">
      <c r="B81" s="242"/>
      <c r="C81" s="1598"/>
      <c r="D81" s="1598"/>
      <c r="E81" s="1598"/>
      <c r="F81" s="1598"/>
      <c r="G81" s="1598"/>
      <c r="H81" s="1598"/>
      <c r="I81" s="1662"/>
    </row>
    <row r="82" spans="2:9">
      <c r="B82" s="242" t="s">
        <v>151</v>
      </c>
      <c r="C82" s="256" t="s">
        <v>175</v>
      </c>
      <c r="D82" s="130"/>
      <c r="E82" s="130"/>
      <c r="F82" s="130"/>
      <c r="G82" s="130"/>
      <c r="H82" s="130"/>
      <c r="I82" s="253"/>
    </row>
    <row r="83" spans="2:9" ht="17.25" thickBot="1">
      <c r="B83" s="247"/>
      <c r="C83" s="583"/>
      <c r="D83" s="584"/>
      <c r="E83" s="584"/>
      <c r="F83" s="584"/>
      <c r="G83" s="584"/>
      <c r="H83" s="584"/>
      <c r="I83" s="585"/>
    </row>
    <row r="84" spans="2:9" ht="17.25" thickBot="1"/>
    <row r="85" spans="2:9" ht="24.95" customHeight="1" thickBot="1">
      <c r="B85" s="224" t="s">
        <v>146</v>
      </c>
      <c r="C85" s="1721" t="s">
        <v>382</v>
      </c>
      <c r="D85" s="1721"/>
      <c r="E85" s="1721"/>
      <c r="F85" s="1721"/>
      <c r="G85" s="1721"/>
      <c r="H85" s="1721"/>
      <c r="I85" s="1721"/>
    </row>
    <row r="86" spans="2:9" ht="17.25" thickBot="1">
      <c r="B86" s="226" t="s">
        <v>206</v>
      </c>
      <c r="C86" s="1722" t="s">
        <v>198</v>
      </c>
      <c r="D86" s="1722"/>
      <c r="E86" s="1722"/>
      <c r="F86" s="1722"/>
      <c r="G86" s="1722"/>
      <c r="H86" s="1722"/>
      <c r="I86" s="1722"/>
    </row>
    <row r="87" spans="2:9" ht="18" thickBot="1">
      <c r="B87" s="227" t="s">
        <v>147</v>
      </c>
      <c r="C87" s="1661" t="s">
        <v>155</v>
      </c>
      <c r="D87" s="1661"/>
      <c r="E87" s="1661"/>
      <c r="F87" s="1661"/>
      <c r="G87" s="1661"/>
      <c r="H87" s="1661"/>
      <c r="I87" s="1661"/>
    </row>
    <row r="88" spans="2:9" ht="17.25" thickBot="1">
      <c r="B88" s="258" t="s">
        <v>220</v>
      </c>
      <c r="C88" s="1713" t="s">
        <v>222</v>
      </c>
      <c r="D88" s="1713"/>
      <c r="E88" s="1713"/>
      <c r="F88" s="1713"/>
      <c r="G88" s="1713"/>
      <c r="H88" s="1713"/>
      <c r="I88" s="1714"/>
    </row>
    <row r="89" spans="2:9" ht="5.0999999999999996" customHeight="1">
      <c r="B89" s="259"/>
      <c r="C89" s="260"/>
      <c r="D89" s="260"/>
      <c r="E89" s="260"/>
      <c r="F89" s="260"/>
      <c r="G89" s="260"/>
      <c r="H89" s="260"/>
      <c r="I89" s="261"/>
    </row>
    <row r="90" spans="2:9" s="121" customFormat="1">
      <c r="B90" s="908" t="s">
        <v>148</v>
      </c>
      <c r="C90" s="887" t="s">
        <v>187</v>
      </c>
      <c r="D90" s="222"/>
      <c r="E90" s="887" t="s">
        <v>156</v>
      </c>
      <c r="F90" s="262" t="s">
        <v>159</v>
      </c>
      <c r="G90" s="263" t="s">
        <v>170</v>
      </c>
      <c r="H90" s="222" t="s">
        <v>42</v>
      </c>
      <c r="I90" s="264"/>
    </row>
    <row r="91" spans="2:9">
      <c r="B91" s="237"/>
      <c r="C91" s="886" t="s">
        <v>157</v>
      </c>
      <c r="D91" s="145"/>
      <c r="E91" s="886" t="s">
        <v>158</v>
      </c>
      <c r="F91" s="145"/>
      <c r="G91" s="145"/>
      <c r="H91" s="145"/>
      <c r="I91" s="253"/>
    </row>
    <row r="92" spans="2:9" ht="6.75" customHeight="1">
      <c r="B92" s="254"/>
      <c r="C92" s="889"/>
      <c r="D92" s="889"/>
      <c r="E92" s="889"/>
      <c r="F92" s="889"/>
      <c r="G92" s="889"/>
      <c r="H92" s="889"/>
      <c r="I92" s="253"/>
    </row>
    <row r="93" spans="2:9" ht="27" customHeight="1">
      <c r="B93" s="1668" t="s">
        <v>183</v>
      </c>
      <c r="C93" s="1711" t="s">
        <v>181</v>
      </c>
      <c r="D93" s="1711"/>
      <c r="E93" s="1711"/>
      <c r="F93" s="1676" t="s">
        <v>182</v>
      </c>
      <c r="G93" s="1676"/>
      <c r="H93" s="265"/>
      <c r="I93" s="253"/>
    </row>
    <row r="94" spans="2:9">
      <c r="B94" s="1668"/>
      <c r="C94" s="1674" t="s">
        <v>358</v>
      </c>
      <c r="D94" s="1674"/>
      <c r="E94" s="1674"/>
      <c r="F94" s="1676"/>
      <c r="G94" s="1676"/>
      <c r="H94" s="265"/>
      <c r="I94" s="253"/>
    </row>
    <row r="95" spans="2:9">
      <c r="B95" s="881"/>
      <c r="C95" s="889"/>
      <c r="D95" s="889"/>
      <c r="E95" s="889"/>
      <c r="F95" s="889"/>
      <c r="G95" s="889"/>
      <c r="H95" s="265"/>
      <c r="I95" s="253"/>
    </row>
    <row r="96" spans="2:9" ht="16.5" customHeight="1">
      <c r="B96" s="266" t="s">
        <v>357</v>
      </c>
      <c r="C96" s="1596" t="s">
        <v>359</v>
      </c>
      <c r="D96" s="1596"/>
      <c r="E96" s="1596"/>
      <c r="F96" s="1596"/>
      <c r="G96" s="1596"/>
      <c r="H96" s="1596"/>
      <c r="I96" s="1715"/>
    </row>
    <row r="97" spans="2:9">
      <c r="B97" s="881"/>
      <c r="C97" s="1596"/>
      <c r="D97" s="1596"/>
      <c r="E97" s="1596"/>
      <c r="F97" s="1596"/>
      <c r="G97" s="1596"/>
      <c r="H97" s="1596"/>
      <c r="I97" s="1715"/>
    </row>
    <row r="98" spans="2:9">
      <c r="B98" s="881"/>
      <c r="C98" s="1596"/>
      <c r="D98" s="1596"/>
      <c r="E98" s="1596"/>
      <c r="F98" s="1596"/>
      <c r="G98" s="1596"/>
      <c r="H98" s="1596"/>
      <c r="I98" s="1715"/>
    </row>
    <row r="99" spans="2:9">
      <c r="B99" s="881"/>
      <c r="C99" s="1596"/>
      <c r="D99" s="1596"/>
      <c r="E99" s="1596"/>
      <c r="F99" s="1596"/>
      <c r="G99" s="1596"/>
      <c r="H99" s="1596"/>
      <c r="I99" s="1715"/>
    </row>
    <row r="100" spans="2:9">
      <c r="B100" s="881"/>
      <c r="C100" s="1596"/>
      <c r="D100" s="1596"/>
      <c r="E100" s="1596"/>
      <c r="F100" s="1596"/>
      <c r="G100" s="1596"/>
      <c r="H100" s="1596"/>
      <c r="I100" s="1715"/>
    </row>
    <row r="101" spans="2:9">
      <c r="B101" s="881"/>
      <c r="C101" s="1596"/>
      <c r="D101" s="1596"/>
      <c r="E101" s="1596"/>
      <c r="F101" s="1596"/>
      <c r="G101" s="1596"/>
      <c r="H101" s="1596"/>
      <c r="I101" s="1715"/>
    </row>
    <row r="102" spans="2:9">
      <c r="B102" s="881"/>
      <c r="C102" s="1596"/>
      <c r="D102" s="1596"/>
      <c r="E102" s="1596"/>
      <c r="F102" s="1596"/>
      <c r="G102" s="1596"/>
      <c r="H102" s="1596"/>
      <c r="I102" s="1715"/>
    </row>
    <row r="103" spans="2:9" ht="16.5" customHeight="1">
      <c r="B103" s="237"/>
      <c r="C103" s="1596"/>
      <c r="D103" s="1596"/>
      <c r="E103" s="1596"/>
      <c r="F103" s="1596"/>
      <c r="G103" s="1596"/>
      <c r="H103" s="1596"/>
      <c r="I103" s="1715"/>
    </row>
    <row r="104" spans="2:9" ht="12" customHeight="1">
      <c r="B104" s="237"/>
      <c r="C104" s="1596"/>
      <c r="D104" s="1596"/>
      <c r="E104" s="1596"/>
      <c r="F104" s="1596"/>
      <c r="G104" s="1596"/>
      <c r="H104" s="1596"/>
      <c r="I104" s="1715"/>
    </row>
    <row r="105" spans="2:9" ht="8.1" customHeight="1">
      <c r="B105" s="237"/>
      <c r="C105" s="1596"/>
      <c r="D105" s="1596"/>
      <c r="E105" s="1596"/>
      <c r="F105" s="1596"/>
      <c r="G105" s="1596"/>
      <c r="H105" s="1596"/>
      <c r="I105" s="1715"/>
    </row>
    <row r="106" spans="2:9" ht="16.5" customHeight="1">
      <c r="B106" s="237"/>
      <c r="C106" s="910"/>
      <c r="D106" s="910"/>
      <c r="E106" s="910"/>
      <c r="F106" s="910"/>
      <c r="G106" s="910"/>
      <c r="H106" s="910"/>
      <c r="I106" s="267"/>
    </row>
    <row r="107" spans="2:9">
      <c r="B107" s="243" t="s">
        <v>149</v>
      </c>
      <c r="C107" s="1663" t="s">
        <v>171</v>
      </c>
      <c r="D107" s="1663"/>
      <c r="E107" s="1663"/>
      <c r="F107" s="1663"/>
      <c r="G107" s="1663"/>
      <c r="H107" s="1663"/>
      <c r="I107" s="1664"/>
    </row>
    <row r="108" spans="2:9" ht="39" customHeight="1">
      <c r="B108" s="254"/>
      <c r="C108" s="1663"/>
      <c r="D108" s="1663"/>
      <c r="E108" s="1663"/>
      <c r="F108" s="1663"/>
      <c r="G108" s="1663"/>
      <c r="H108" s="1663"/>
      <c r="I108" s="1664"/>
    </row>
    <row r="109" spans="2:9" ht="5.0999999999999996" customHeight="1">
      <c r="B109" s="237"/>
      <c r="C109" s="130"/>
      <c r="D109" s="130"/>
      <c r="E109" s="130"/>
      <c r="F109" s="130"/>
      <c r="G109" s="130"/>
      <c r="H109" s="130"/>
      <c r="I109" s="253"/>
    </row>
    <row r="110" spans="2:9">
      <c r="B110" s="242" t="s">
        <v>150</v>
      </c>
      <c r="C110" s="1598" t="s">
        <v>674</v>
      </c>
      <c r="D110" s="1598"/>
      <c r="E110" s="1598"/>
      <c r="F110" s="1598"/>
      <c r="G110" s="1598"/>
      <c r="H110" s="1598"/>
      <c r="I110" s="1662"/>
    </row>
    <row r="111" spans="2:9">
      <c r="B111" s="908"/>
      <c r="C111" s="1598"/>
      <c r="D111" s="1598"/>
      <c r="E111" s="1598"/>
      <c r="F111" s="1598"/>
      <c r="G111" s="1598"/>
      <c r="H111" s="1598"/>
      <c r="I111" s="1662"/>
    </row>
    <row r="112" spans="2:9">
      <c r="B112" s="908"/>
      <c r="C112" s="1598"/>
      <c r="D112" s="1598"/>
      <c r="E112" s="1598"/>
      <c r="F112" s="1598"/>
      <c r="G112" s="1598"/>
      <c r="H112" s="1598"/>
      <c r="I112" s="1662"/>
    </row>
    <row r="113" spans="2:9" ht="54.75" customHeight="1">
      <c r="B113" s="242"/>
      <c r="C113" s="1598"/>
      <c r="D113" s="1598"/>
      <c r="E113" s="1598"/>
      <c r="F113" s="1598"/>
      <c r="G113" s="1598"/>
      <c r="H113" s="1598"/>
      <c r="I113" s="1662"/>
    </row>
    <row r="114" spans="2:9" ht="5.0999999999999996" customHeight="1">
      <c r="B114" s="242"/>
      <c r="C114" s="865"/>
      <c r="D114" s="865"/>
      <c r="E114" s="865"/>
      <c r="F114" s="865"/>
      <c r="G114" s="865"/>
      <c r="H114" s="865"/>
      <c r="I114" s="874"/>
    </row>
    <row r="115" spans="2:9" ht="16.5" customHeight="1">
      <c r="B115" s="242" t="s">
        <v>151</v>
      </c>
      <c r="C115" s="256" t="s">
        <v>176</v>
      </c>
      <c r="D115" s="130"/>
      <c r="E115" s="130"/>
      <c r="F115" s="130"/>
      <c r="G115" s="130"/>
      <c r="H115" s="130"/>
      <c r="I115" s="253"/>
    </row>
    <row r="116" spans="2:9" ht="16.5" customHeight="1">
      <c r="B116" s="908"/>
      <c r="C116" s="256" t="s">
        <v>178</v>
      </c>
      <c r="D116" s="130"/>
      <c r="E116" s="130"/>
      <c r="F116" s="130"/>
      <c r="G116" s="130"/>
      <c r="H116" s="130"/>
      <c r="I116" s="253"/>
    </row>
    <row r="117" spans="2:9" ht="16.5" customHeight="1">
      <c r="B117" s="908"/>
      <c r="C117" s="256" t="s">
        <v>177</v>
      </c>
      <c r="D117" s="130"/>
      <c r="E117" s="130"/>
      <c r="F117" s="130"/>
      <c r="G117" s="130"/>
      <c r="H117" s="130"/>
      <c r="I117" s="253"/>
    </row>
    <row r="118" spans="2:9" ht="5.0999999999999996" customHeight="1" thickBot="1">
      <c r="B118" s="247"/>
      <c r="C118" s="1672"/>
      <c r="D118" s="1672"/>
      <c r="E118" s="1672"/>
      <c r="F118" s="1672"/>
      <c r="G118" s="1672"/>
      <c r="H118" s="1672"/>
      <c r="I118" s="1673"/>
    </row>
    <row r="119" spans="2:9" ht="17.25" thickBot="1"/>
    <row r="120" spans="2:9" ht="24.95" customHeight="1" thickBot="1">
      <c r="B120" s="224" t="s">
        <v>146</v>
      </c>
      <c r="C120" s="1721" t="s">
        <v>382</v>
      </c>
      <c r="D120" s="1721"/>
      <c r="E120" s="1721"/>
      <c r="F120" s="1721"/>
      <c r="G120" s="1721"/>
      <c r="H120" s="1721"/>
      <c r="I120" s="1721"/>
    </row>
    <row r="121" spans="2:9" ht="17.25" thickBot="1">
      <c r="B121" s="226" t="s">
        <v>206</v>
      </c>
      <c r="C121" s="1722" t="s">
        <v>209</v>
      </c>
      <c r="D121" s="1722"/>
      <c r="E121" s="1722"/>
      <c r="F121" s="1722"/>
      <c r="G121" s="1722"/>
      <c r="H121" s="1722"/>
      <c r="I121" s="1722"/>
    </row>
    <row r="122" spans="2:9" ht="18" thickBot="1">
      <c r="B122" s="227" t="s">
        <v>147</v>
      </c>
      <c r="C122" s="1661" t="s">
        <v>667</v>
      </c>
      <c r="D122" s="1661"/>
      <c r="E122" s="1661"/>
      <c r="F122" s="1661"/>
      <c r="G122" s="1661"/>
      <c r="H122" s="1661"/>
      <c r="I122" s="1661"/>
    </row>
    <row r="123" spans="2:9" ht="17.25" thickBot="1">
      <c r="B123" s="258" t="s">
        <v>220</v>
      </c>
      <c r="C123" s="1713" t="s">
        <v>222</v>
      </c>
      <c r="D123" s="1713"/>
      <c r="E123" s="1713"/>
      <c r="F123" s="1713"/>
      <c r="G123" s="1713"/>
      <c r="H123" s="1713"/>
      <c r="I123" s="1714"/>
    </row>
    <row r="124" spans="2:9" ht="5.0999999999999996" customHeight="1">
      <c r="B124" s="250"/>
      <c r="C124" s="251"/>
      <c r="D124" s="251"/>
      <c r="E124" s="251"/>
      <c r="F124" s="251"/>
      <c r="G124" s="251"/>
      <c r="H124" s="251"/>
      <c r="I124" s="252"/>
    </row>
    <row r="125" spans="2:9" ht="16.5" customHeight="1">
      <c r="B125" s="908" t="s">
        <v>148</v>
      </c>
      <c r="C125" s="887" t="s">
        <v>214</v>
      </c>
      <c r="D125" s="268"/>
      <c r="E125" s="887" t="s">
        <v>55</v>
      </c>
      <c r="F125" s="262"/>
      <c r="G125" s="263"/>
      <c r="H125" s="222"/>
      <c r="I125" s="264"/>
    </row>
    <row r="126" spans="2:9" ht="16.5" customHeight="1">
      <c r="B126" s="237"/>
      <c r="C126" s="145" t="s">
        <v>179</v>
      </c>
      <c r="D126" s="145"/>
      <c r="E126" s="886" t="s">
        <v>658</v>
      </c>
      <c r="F126" s="145"/>
      <c r="G126" s="145"/>
      <c r="H126" s="145"/>
      <c r="I126" s="253"/>
    </row>
    <row r="127" spans="2:9" ht="16.5" customHeight="1">
      <c r="B127" s="237"/>
      <c r="C127" s="1732" t="s">
        <v>180</v>
      </c>
      <c r="D127" s="1732"/>
      <c r="E127" s="582" t="s">
        <v>657</v>
      </c>
      <c r="F127" s="145"/>
      <c r="G127" s="145"/>
      <c r="H127" s="145"/>
      <c r="I127" s="253"/>
    </row>
    <row r="128" spans="2:9" ht="5.0999999999999996" customHeight="1">
      <c r="B128" s="237"/>
      <c r="C128" s="882"/>
      <c r="D128" s="882"/>
      <c r="E128" s="269"/>
      <c r="F128" s="145"/>
      <c r="G128" s="145"/>
      <c r="H128" s="145"/>
      <c r="I128" s="253"/>
    </row>
    <row r="129" spans="2:9" ht="16.5" customHeight="1">
      <c r="B129" s="237"/>
      <c r="C129" s="1598" t="s">
        <v>215</v>
      </c>
      <c r="D129" s="1598"/>
      <c r="E129" s="1598"/>
      <c r="F129" s="1598"/>
      <c r="G129" s="1598"/>
      <c r="H129" s="1598"/>
      <c r="I129" s="1662"/>
    </row>
    <row r="130" spans="2:9" ht="9.9499999999999993" customHeight="1">
      <c r="B130" s="237"/>
      <c r="C130" s="882"/>
      <c r="D130" s="882"/>
      <c r="E130" s="269"/>
      <c r="F130" s="145"/>
      <c r="G130" s="145"/>
      <c r="H130" s="145"/>
      <c r="I130" s="253"/>
    </row>
    <row r="131" spans="2:9" ht="9.9499999999999993" customHeight="1">
      <c r="B131" s="237"/>
      <c r="C131" s="882"/>
      <c r="D131" s="882"/>
      <c r="E131" s="269"/>
      <c r="F131" s="145"/>
      <c r="G131" s="145"/>
      <c r="H131" s="145"/>
      <c r="I131" s="253"/>
    </row>
    <row r="132" spans="2:9" ht="16.5" customHeight="1">
      <c r="B132" s="1731" t="s">
        <v>184</v>
      </c>
      <c r="C132" s="1675" t="s">
        <v>47</v>
      </c>
      <c r="D132" s="1675"/>
      <c r="E132" s="1675"/>
      <c r="F132" s="1734" t="s">
        <v>182</v>
      </c>
      <c r="G132" s="145"/>
      <c r="H132" s="145"/>
      <c r="I132" s="253"/>
    </row>
    <row r="133" spans="2:9" ht="16.5" customHeight="1">
      <c r="B133" s="1731"/>
      <c r="C133" s="1716" t="s">
        <v>358</v>
      </c>
      <c r="D133" s="1716"/>
      <c r="E133" s="1716"/>
      <c r="F133" s="1734"/>
      <c r="G133" s="145"/>
      <c r="H133" s="145"/>
      <c r="I133" s="253"/>
    </row>
    <row r="134" spans="2:9" ht="16.5" customHeight="1">
      <c r="B134" s="880"/>
      <c r="C134" s="906"/>
      <c r="D134" s="906"/>
      <c r="E134" s="906"/>
      <c r="F134" s="883"/>
      <c r="G134" s="145"/>
      <c r="H134" s="145"/>
      <c r="I134" s="253"/>
    </row>
    <row r="135" spans="2:9" ht="16.5" customHeight="1">
      <c r="B135" s="270" t="s">
        <v>357</v>
      </c>
      <c r="C135" s="1596" t="s">
        <v>659</v>
      </c>
      <c r="D135" s="1596"/>
      <c r="E135" s="1596"/>
      <c r="F135" s="1596"/>
      <c r="G135" s="1596"/>
      <c r="H135" s="1596"/>
      <c r="I135" s="1715"/>
    </row>
    <row r="136" spans="2:9" ht="16.5" customHeight="1">
      <c r="B136" s="880"/>
      <c r="C136" s="1596"/>
      <c r="D136" s="1596"/>
      <c r="E136" s="1596"/>
      <c r="F136" s="1596"/>
      <c r="G136" s="1596"/>
      <c r="H136" s="1596"/>
      <c r="I136" s="1715"/>
    </row>
    <row r="137" spans="2:9" ht="16.5" customHeight="1">
      <c r="B137" s="880"/>
      <c r="C137" s="1596"/>
      <c r="D137" s="1596"/>
      <c r="E137" s="1596"/>
      <c r="F137" s="1596"/>
      <c r="G137" s="1596"/>
      <c r="H137" s="1596"/>
      <c r="I137" s="1715"/>
    </row>
    <row r="138" spans="2:9" ht="16.5" customHeight="1">
      <c r="B138" s="880"/>
      <c r="C138" s="1596"/>
      <c r="D138" s="1596"/>
      <c r="E138" s="1596"/>
      <c r="F138" s="1596"/>
      <c r="G138" s="1596"/>
      <c r="H138" s="1596"/>
      <c r="I138" s="1715"/>
    </row>
    <row r="139" spans="2:9" ht="16.5" customHeight="1">
      <c r="B139" s="880"/>
      <c r="C139" s="1596"/>
      <c r="D139" s="1596"/>
      <c r="E139" s="1596"/>
      <c r="F139" s="1596"/>
      <c r="G139" s="1596"/>
      <c r="H139" s="1596"/>
      <c r="I139" s="1715"/>
    </row>
    <row r="140" spans="2:9" ht="16.5" customHeight="1">
      <c r="B140" s="237"/>
      <c r="C140" s="1596"/>
      <c r="D140" s="1596"/>
      <c r="E140" s="1596"/>
      <c r="F140" s="1596"/>
      <c r="G140" s="1596"/>
      <c r="H140" s="1596"/>
      <c r="I140" s="1715"/>
    </row>
    <row r="141" spans="2:9" ht="16.5" customHeight="1">
      <c r="B141" s="237"/>
      <c r="C141" s="1596"/>
      <c r="D141" s="1596"/>
      <c r="E141" s="1596"/>
      <c r="F141" s="1596"/>
      <c r="G141" s="1596"/>
      <c r="H141" s="1596"/>
      <c r="I141" s="1715"/>
    </row>
    <row r="142" spans="2:9" ht="16.5" customHeight="1">
      <c r="B142" s="237"/>
      <c r="C142" s="1596"/>
      <c r="D142" s="1596"/>
      <c r="E142" s="1596"/>
      <c r="F142" s="1596"/>
      <c r="G142" s="1596"/>
      <c r="H142" s="1596"/>
      <c r="I142" s="1715"/>
    </row>
    <row r="143" spans="2:9" ht="16.5" customHeight="1">
      <c r="B143" s="237"/>
      <c r="C143" s="1596"/>
      <c r="D143" s="1596"/>
      <c r="E143" s="1596"/>
      <c r="F143" s="1596"/>
      <c r="G143" s="1596"/>
      <c r="H143" s="1596"/>
      <c r="I143" s="1715"/>
    </row>
    <row r="144" spans="2:9" ht="16.5" customHeight="1">
      <c r="B144" s="237"/>
      <c r="C144" s="1596"/>
      <c r="D144" s="1596"/>
      <c r="E144" s="1596"/>
      <c r="F144" s="1596"/>
      <c r="G144" s="1596"/>
      <c r="H144" s="1596"/>
      <c r="I144" s="1715"/>
    </row>
    <row r="145" spans="2:9" ht="16.5" customHeight="1">
      <c r="B145" s="237"/>
      <c r="C145" s="863"/>
      <c r="D145" s="863"/>
      <c r="E145" s="863"/>
      <c r="F145" s="863"/>
      <c r="G145" s="863"/>
      <c r="H145" s="863"/>
      <c r="I145" s="879"/>
    </row>
    <row r="146" spans="2:9" ht="16.5" customHeight="1">
      <c r="B146" s="243" t="s">
        <v>149</v>
      </c>
      <c r="C146" s="1663" t="s">
        <v>660</v>
      </c>
      <c r="D146" s="1663"/>
      <c r="E146" s="1663"/>
      <c r="F146" s="1663"/>
      <c r="G146" s="1663"/>
      <c r="H146" s="1663"/>
      <c r="I146" s="1664"/>
    </row>
    <row r="147" spans="2:9" ht="16.5" customHeight="1">
      <c r="B147" s="254"/>
      <c r="C147" s="1663"/>
      <c r="D147" s="1663"/>
      <c r="E147" s="1663"/>
      <c r="F147" s="1663"/>
      <c r="G147" s="1663"/>
      <c r="H147" s="1663"/>
      <c r="I147" s="1664"/>
    </row>
    <row r="148" spans="2:9" ht="24" customHeight="1">
      <c r="B148" s="254"/>
      <c r="C148" s="1663"/>
      <c r="D148" s="1663"/>
      <c r="E148" s="1663"/>
      <c r="F148" s="1663"/>
      <c r="G148" s="1663"/>
      <c r="H148" s="1663"/>
      <c r="I148" s="1664"/>
    </row>
    <row r="149" spans="2:9" ht="20.100000000000001" customHeight="1">
      <c r="B149" s="242" t="s">
        <v>150</v>
      </c>
      <c r="C149" s="1598" t="s">
        <v>628</v>
      </c>
      <c r="D149" s="1598"/>
      <c r="E149" s="1598"/>
      <c r="F149" s="1598"/>
      <c r="G149" s="1598"/>
      <c r="H149" s="1598"/>
      <c r="I149" s="1662"/>
    </row>
    <row r="150" spans="2:9" ht="96.75" customHeight="1">
      <c r="B150" s="908"/>
      <c r="C150" s="1598"/>
      <c r="D150" s="1598"/>
      <c r="E150" s="1598"/>
      <c r="F150" s="1598"/>
      <c r="G150" s="1598"/>
      <c r="H150" s="1598"/>
      <c r="I150" s="1662"/>
    </row>
    <row r="151" spans="2:9" ht="28.5" customHeight="1">
      <c r="B151" s="908"/>
      <c r="C151" s="1598"/>
      <c r="D151" s="1598"/>
      <c r="E151" s="1598"/>
      <c r="F151" s="1598"/>
      <c r="G151" s="1598"/>
      <c r="H151" s="1598"/>
      <c r="I151" s="1662"/>
    </row>
    <row r="152" spans="2:9" ht="16.5" customHeight="1">
      <c r="B152" s="908"/>
      <c r="C152" s="1598"/>
      <c r="D152" s="1598"/>
      <c r="E152" s="1598"/>
      <c r="F152" s="1598"/>
      <c r="G152" s="1598"/>
      <c r="H152" s="1598"/>
      <c r="I152" s="1662"/>
    </row>
    <row r="153" spans="2:9" ht="9.9499999999999993" customHeight="1">
      <c r="B153" s="908"/>
      <c r="C153" s="1598"/>
      <c r="D153" s="1598"/>
      <c r="E153" s="1598"/>
      <c r="F153" s="1598"/>
      <c r="G153" s="1598"/>
      <c r="H153" s="1598"/>
      <c r="I153" s="1662"/>
    </row>
    <row r="154" spans="2:9">
      <c r="B154" s="242" t="s">
        <v>151</v>
      </c>
      <c r="C154" s="1596" t="s">
        <v>191</v>
      </c>
      <c r="D154" s="1653"/>
      <c r="E154" s="1653"/>
      <c r="F154" s="1653"/>
      <c r="G154" s="1653"/>
      <c r="H154" s="1653"/>
      <c r="I154" s="1735"/>
    </row>
    <row r="155" spans="2:9" ht="16.5" customHeight="1">
      <c r="B155" s="908"/>
      <c r="C155" s="1653"/>
      <c r="D155" s="1653"/>
      <c r="E155" s="1653"/>
      <c r="F155" s="1653"/>
      <c r="G155" s="1653"/>
      <c r="H155" s="1653"/>
      <c r="I155" s="1735"/>
    </row>
    <row r="156" spans="2:9" ht="7.5" customHeight="1">
      <c r="B156" s="908"/>
      <c r="C156" s="1653"/>
      <c r="D156" s="1653"/>
      <c r="E156" s="1653"/>
      <c r="F156" s="1653"/>
      <c r="G156" s="1653"/>
      <c r="H156" s="1653"/>
      <c r="I156" s="1735"/>
    </row>
    <row r="157" spans="2:9" ht="9.9499999999999993" customHeight="1" thickBot="1">
      <c r="B157" s="247"/>
      <c r="C157" s="248"/>
      <c r="D157" s="248"/>
      <c r="E157" s="248"/>
      <c r="F157" s="248"/>
      <c r="G157" s="248"/>
      <c r="H157" s="248"/>
      <c r="I157" s="249"/>
    </row>
    <row r="158" spans="2:9" ht="16.5" customHeight="1" thickBot="1"/>
    <row r="159" spans="2:9" ht="24.95" customHeight="1" thickBot="1">
      <c r="B159" s="224" t="s">
        <v>146</v>
      </c>
      <c r="C159" s="1721" t="s">
        <v>382</v>
      </c>
      <c r="D159" s="1721"/>
      <c r="E159" s="1721"/>
      <c r="F159" s="1721"/>
      <c r="G159" s="1721"/>
      <c r="H159" s="1721"/>
      <c r="I159" s="1721"/>
    </row>
    <row r="160" spans="2:9" ht="17.25" thickBot="1">
      <c r="B160" s="226" t="s">
        <v>206</v>
      </c>
      <c r="C160" s="1722" t="s">
        <v>198</v>
      </c>
      <c r="D160" s="1722"/>
      <c r="E160" s="1722"/>
      <c r="F160" s="1722"/>
      <c r="G160" s="1722"/>
      <c r="H160" s="1722"/>
      <c r="I160" s="1722"/>
    </row>
    <row r="161" spans="2:9" ht="18" thickBot="1">
      <c r="B161" s="227" t="s">
        <v>147</v>
      </c>
      <c r="C161" s="1661" t="s">
        <v>190</v>
      </c>
      <c r="D161" s="1661"/>
      <c r="E161" s="1661"/>
      <c r="F161" s="1661"/>
      <c r="G161" s="1661"/>
      <c r="H161" s="1661"/>
      <c r="I161" s="1661"/>
    </row>
    <row r="162" spans="2:9" ht="17.25" thickBot="1">
      <c r="B162" s="228" t="s">
        <v>220</v>
      </c>
      <c r="C162" s="1713" t="s">
        <v>222</v>
      </c>
      <c r="D162" s="1713"/>
      <c r="E162" s="1713"/>
      <c r="F162" s="1713"/>
      <c r="G162" s="1713"/>
      <c r="H162" s="1713"/>
      <c r="I162" s="1714"/>
    </row>
    <row r="163" spans="2:9" ht="9.9499999999999993" customHeight="1">
      <c r="B163" s="250"/>
      <c r="C163" s="251"/>
      <c r="D163" s="251"/>
      <c r="E163" s="251"/>
      <c r="F163" s="251"/>
      <c r="G163" s="251"/>
      <c r="H163" s="251"/>
      <c r="I163" s="252"/>
    </row>
    <row r="164" spans="2:9">
      <c r="B164" s="908" t="s">
        <v>148</v>
      </c>
      <c r="C164" s="887" t="s">
        <v>186</v>
      </c>
      <c r="D164" s="222" t="s">
        <v>47</v>
      </c>
      <c r="E164" s="238" t="s">
        <v>159</v>
      </c>
      <c r="F164" s="263" t="s">
        <v>54</v>
      </c>
      <c r="G164" s="271" t="s">
        <v>185</v>
      </c>
      <c r="H164" s="222" t="s">
        <v>109</v>
      </c>
      <c r="I164" s="264"/>
    </row>
    <row r="165" spans="2:9" ht="27" customHeight="1">
      <c r="B165" s="908"/>
      <c r="C165" s="887"/>
      <c r="D165" s="222"/>
      <c r="E165" s="1733" t="s">
        <v>654</v>
      </c>
      <c r="F165" s="1733"/>
      <c r="G165" s="271" t="s">
        <v>185</v>
      </c>
      <c r="H165" s="581" t="s">
        <v>655</v>
      </c>
      <c r="I165" s="264"/>
    </row>
    <row r="166" spans="2:9" ht="12" customHeight="1">
      <c r="B166" s="237"/>
      <c r="C166" s="145"/>
      <c r="D166" s="145"/>
      <c r="E166" s="145"/>
      <c r="F166" s="886" t="s">
        <v>45</v>
      </c>
      <c r="G166" s="271" t="s">
        <v>185</v>
      </c>
      <c r="H166" s="145" t="s">
        <v>46</v>
      </c>
      <c r="I166" s="253"/>
    </row>
    <row r="167" spans="2:9" ht="12" customHeight="1">
      <c r="B167" s="237"/>
      <c r="C167" s="145"/>
      <c r="D167" s="145"/>
      <c r="E167" s="145"/>
      <c r="F167" s="886"/>
      <c r="G167" s="271"/>
      <c r="H167" s="145"/>
      <c r="I167" s="253"/>
    </row>
    <row r="168" spans="2:9" ht="16.5" customHeight="1">
      <c r="B168" s="1731" t="s">
        <v>184</v>
      </c>
      <c r="C168" s="1718" t="s">
        <v>194</v>
      </c>
      <c r="D168" s="1718"/>
      <c r="E168" s="1718"/>
      <c r="F168" s="1681" t="s">
        <v>182</v>
      </c>
      <c r="G168" s="271"/>
      <c r="H168" s="145"/>
      <c r="I168" s="253"/>
    </row>
    <row r="169" spans="2:9" ht="16.5" customHeight="1">
      <c r="B169" s="1731"/>
      <c r="C169" s="1716" t="s">
        <v>358</v>
      </c>
      <c r="D169" s="1716"/>
      <c r="E169" s="1716"/>
      <c r="F169" s="1681"/>
      <c r="G169" s="271"/>
      <c r="H169" s="145"/>
      <c r="I169" s="253"/>
    </row>
    <row r="170" spans="2:9" ht="9.9499999999999993" customHeight="1">
      <c r="B170" s="237"/>
      <c r="C170" s="882"/>
      <c r="D170" s="882"/>
      <c r="E170" s="269"/>
      <c r="F170" s="145"/>
      <c r="G170" s="145"/>
      <c r="H170" s="145"/>
      <c r="I170" s="253"/>
    </row>
    <row r="171" spans="2:9" ht="16.5" customHeight="1">
      <c r="B171" s="908" t="s">
        <v>356</v>
      </c>
      <c r="C171" s="1598" t="s">
        <v>652</v>
      </c>
      <c r="D171" s="1598"/>
      <c r="E171" s="1598"/>
      <c r="F171" s="1598"/>
      <c r="G171" s="1598"/>
      <c r="H171" s="1598"/>
      <c r="I171" s="1662"/>
    </row>
    <row r="172" spans="2:9" ht="16.5" customHeight="1">
      <c r="B172" s="908"/>
      <c r="C172" s="1598"/>
      <c r="D172" s="1598"/>
      <c r="E172" s="1598"/>
      <c r="F172" s="1598"/>
      <c r="G172" s="1598"/>
      <c r="H172" s="1598"/>
      <c r="I172" s="1662"/>
    </row>
    <row r="173" spans="2:9" ht="16.5" customHeight="1">
      <c r="B173" s="908"/>
      <c r="C173" s="1598"/>
      <c r="D173" s="1598"/>
      <c r="E173" s="1598"/>
      <c r="F173" s="1598"/>
      <c r="G173" s="1598"/>
      <c r="H173" s="1598"/>
      <c r="I173" s="1662"/>
    </row>
    <row r="174" spans="2:9" ht="16.5" customHeight="1">
      <c r="B174" s="908"/>
      <c r="C174" s="1598"/>
      <c r="D174" s="1598"/>
      <c r="E174" s="1598"/>
      <c r="F174" s="1598"/>
      <c r="G174" s="1598"/>
      <c r="H174" s="1598"/>
      <c r="I174" s="1662"/>
    </row>
    <row r="175" spans="2:9" ht="16.5" customHeight="1">
      <c r="B175" s="908"/>
      <c r="C175" s="1598"/>
      <c r="D175" s="1598"/>
      <c r="E175" s="1598"/>
      <c r="F175" s="1598"/>
      <c r="G175" s="1598"/>
      <c r="H175" s="1598"/>
      <c r="I175" s="1662"/>
    </row>
    <row r="176" spans="2:9" ht="16.5" customHeight="1">
      <c r="B176" s="908"/>
      <c r="C176" s="1598"/>
      <c r="D176" s="1598"/>
      <c r="E176" s="1598"/>
      <c r="F176" s="1598"/>
      <c r="G176" s="1598"/>
      <c r="H176" s="1598"/>
      <c r="I176" s="1662"/>
    </row>
    <row r="177" spans="2:9" ht="16.5" customHeight="1">
      <c r="B177" s="237"/>
      <c r="C177" s="1598"/>
      <c r="D177" s="1598"/>
      <c r="E177" s="1598"/>
      <c r="F177" s="1598"/>
      <c r="G177" s="1598"/>
      <c r="H177" s="1598"/>
      <c r="I177" s="1662"/>
    </row>
    <row r="178" spans="2:9" ht="16.5" customHeight="1">
      <c r="B178" s="237"/>
      <c r="C178" s="1598"/>
      <c r="D178" s="1598"/>
      <c r="E178" s="1598"/>
      <c r="F178" s="1598"/>
      <c r="G178" s="1598"/>
      <c r="H178" s="1598"/>
      <c r="I178" s="1662"/>
    </row>
    <row r="179" spans="2:9" ht="16.5" customHeight="1">
      <c r="B179" s="237"/>
      <c r="C179" s="1598"/>
      <c r="D179" s="1598"/>
      <c r="E179" s="1598"/>
      <c r="F179" s="1598"/>
      <c r="G179" s="1598"/>
      <c r="H179" s="1598"/>
      <c r="I179" s="1662"/>
    </row>
    <row r="180" spans="2:9" ht="16.5" customHeight="1">
      <c r="B180" s="237"/>
      <c r="C180" s="1598"/>
      <c r="D180" s="1598"/>
      <c r="E180" s="1598"/>
      <c r="F180" s="1598"/>
      <c r="G180" s="1598"/>
      <c r="H180" s="1598"/>
      <c r="I180" s="1662"/>
    </row>
    <row r="181" spans="2:9" ht="16.5" customHeight="1">
      <c r="B181" s="237"/>
      <c r="C181" s="1598"/>
      <c r="D181" s="1598"/>
      <c r="E181" s="1598"/>
      <c r="F181" s="1598"/>
      <c r="G181" s="1598"/>
      <c r="H181" s="1598"/>
      <c r="I181" s="1662"/>
    </row>
    <row r="182" spans="2:9" ht="16.5" customHeight="1">
      <c r="B182" s="243" t="s">
        <v>149</v>
      </c>
      <c r="C182" s="1663" t="s">
        <v>656</v>
      </c>
      <c r="D182" s="1663"/>
      <c r="E182" s="1663"/>
      <c r="F182" s="1663"/>
      <c r="G182" s="1663"/>
      <c r="H182" s="1663"/>
      <c r="I182" s="1664"/>
    </row>
    <row r="183" spans="2:9" ht="24.75" customHeight="1">
      <c r="B183" s="254"/>
      <c r="C183" s="1663"/>
      <c r="D183" s="1663"/>
      <c r="E183" s="1663"/>
      <c r="F183" s="1663"/>
      <c r="G183" s="1663"/>
      <c r="H183" s="1663"/>
      <c r="I183" s="1664"/>
    </row>
    <row r="184" spans="2:9" ht="9.9499999999999993" customHeight="1">
      <c r="B184" s="237"/>
      <c r="C184" s="130"/>
      <c r="D184" s="130"/>
      <c r="E184" s="130"/>
      <c r="F184" s="130"/>
      <c r="G184" s="130"/>
      <c r="H184" s="130"/>
      <c r="I184" s="253"/>
    </row>
    <row r="185" spans="2:9" ht="16.5" customHeight="1">
      <c r="B185" s="242" t="s">
        <v>150</v>
      </c>
      <c r="C185" s="1677" t="s">
        <v>653</v>
      </c>
      <c r="D185" s="1677"/>
      <c r="E185" s="1677"/>
      <c r="F185" s="1677"/>
      <c r="G185" s="1677"/>
      <c r="H185" s="1677"/>
      <c r="I185" s="1683"/>
    </row>
    <row r="186" spans="2:9" ht="16.5" customHeight="1">
      <c r="B186" s="908"/>
      <c r="C186" s="1677"/>
      <c r="D186" s="1677"/>
      <c r="E186" s="1677"/>
      <c r="F186" s="1677"/>
      <c r="G186" s="1677"/>
      <c r="H186" s="1677"/>
      <c r="I186" s="1683"/>
    </row>
    <row r="187" spans="2:9" ht="16.5" customHeight="1">
      <c r="B187" s="908"/>
      <c r="C187" s="1677"/>
      <c r="D187" s="1677"/>
      <c r="E187" s="1677"/>
      <c r="F187" s="1677"/>
      <c r="G187" s="1677"/>
      <c r="H187" s="1677"/>
      <c r="I187" s="1683"/>
    </row>
    <row r="188" spans="2:9" ht="16.5" customHeight="1">
      <c r="B188" s="908"/>
      <c r="C188" s="1677"/>
      <c r="D188" s="1677"/>
      <c r="E188" s="1677"/>
      <c r="F188" s="1677"/>
      <c r="G188" s="1677"/>
      <c r="H188" s="1677"/>
      <c r="I188" s="1683"/>
    </row>
    <row r="189" spans="2:9" ht="16.5" customHeight="1">
      <c r="B189" s="908"/>
      <c r="C189" s="1677"/>
      <c r="D189" s="1677"/>
      <c r="E189" s="1677"/>
      <c r="F189" s="1677"/>
      <c r="G189" s="1677"/>
      <c r="H189" s="1677"/>
      <c r="I189" s="1683"/>
    </row>
    <row r="190" spans="2:9" ht="16.5" customHeight="1">
      <c r="B190" s="908"/>
      <c r="C190" s="1677"/>
      <c r="D190" s="1677"/>
      <c r="E190" s="1677"/>
      <c r="F190" s="1677"/>
      <c r="G190" s="1677"/>
      <c r="H190" s="1677"/>
      <c r="I190" s="1683"/>
    </row>
    <row r="191" spans="2:9" ht="16.5" customHeight="1">
      <c r="B191" s="908"/>
      <c r="C191" s="1677"/>
      <c r="D191" s="1677"/>
      <c r="E191" s="1677"/>
      <c r="F191" s="1677"/>
      <c r="G191" s="1677"/>
      <c r="H191" s="1677"/>
      <c r="I191" s="1683"/>
    </row>
    <row r="192" spans="2:9" ht="16.5" customHeight="1">
      <c r="B192" s="908"/>
      <c r="C192" s="1677"/>
      <c r="D192" s="1677"/>
      <c r="E192" s="1677"/>
      <c r="F192" s="1677"/>
      <c r="G192" s="1677"/>
      <c r="H192" s="1677"/>
      <c r="I192" s="1683"/>
    </row>
    <row r="193" spans="2:9" ht="16.5" customHeight="1">
      <c r="B193" s="908"/>
      <c r="C193" s="1677"/>
      <c r="D193" s="1677"/>
      <c r="E193" s="1677"/>
      <c r="F193" s="1677"/>
      <c r="G193" s="1677"/>
      <c r="H193" s="1677"/>
      <c r="I193" s="1683"/>
    </row>
    <row r="194" spans="2:9" ht="16.5" customHeight="1">
      <c r="B194" s="908"/>
      <c r="C194" s="1677"/>
      <c r="D194" s="1677"/>
      <c r="E194" s="1677"/>
      <c r="F194" s="1677"/>
      <c r="G194" s="1677"/>
      <c r="H194" s="1677"/>
      <c r="I194" s="1683"/>
    </row>
    <row r="195" spans="2:9" ht="21" customHeight="1">
      <c r="B195" s="908"/>
      <c r="C195" s="1677"/>
      <c r="D195" s="1677"/>
      <c r="E195" s="1677"/>
      <c r="F195" s="1677"/>
      <c r="G195" s="1677"/>
      <c r="H195" s="1677"/>
      <c r="I195" s="1683"/>
    </row>
    <row r="196" spans="2:9" ht="9.9499999999999993" customHeight="1">
      <c r="B196" s="242"/>
      <c r="C196" s="865"/>
      <c r="D196" s="865"/>
      <c r="E196" s="865"/>
      <c r="F196" s="865"/>
      <c r="G196" s="865"/>
      <c r="H196" s="865"/>
      <c r="I196" s="874"/>
    </row>
    <row r="197" spans="2:9" s="121" customFormat="1" ht="16.5" customHeight="1">
      <c r="B197" s="242" t="s">
        <v>151</v>
      </c>
      <c r="C197" s="1596" t="s">
        <v>192</v>
      </c>
      <c r="D197" s="1596"/>
      <c r="E197" s="1596"/>
      <c r="F197" s="1596"/>
      <c r="G197" s="1596"/>
      <c r="H197" s="1596"/>
      <c r="I197" s="1715"/>
    </row>
    <row r="198" spans="2:9">
      <c r="B198" s="908"/>
      <c r="C198" s="1596"/>
      <c r="D198" s="1596"/>
      <c r="E198" s="1596"/>
      <c r="F198" s="1596"/>
      <c r="G198" s="1596"/>
      <c r="H198" s="1596"/>
      <c r="I198" s="1715"/>
    </row>
    <row r="199" spans="2:9" ht="16.5" customHeight="1">
      <c r="B199" s="257"/>
      <c r="C199" s="1596"/>
      <c r="D199" s="1596"/>
      <c r="E199" s="1596"/>
      <c r="F199" s="1596"/>
      <c r="G199" s="1596"/>
      <c r="H199" s="1596"/>
      <c r="I199" s="1715"/>
    </row>
    <row r="200" spans="2:9" ht="12" customHeight="1" thickBot="1">
      <c r="B200" s="247"/>
      <c r="C200" s="1719"/>
      <c r="D200" s="1719"/>
      <c r="E200" s="1719"/>
      <c r="F200" s="1719"/>
      <c r="G200" s="1719"/>
      <c r="H200" s="1719"/>
      <c r="I200" s="1720"/>
    </row>
    <row r="201" spans="2:9" ht="16.5" customHeight="1" thickBot="1">
      <c r="B201" s="120"/>
      <c r="C201" s="863"/>
      <c r="D201" s="863"/>
      <c r="E201" s="863"/>
      <c r="F201" s="863"/>
      <c r="G201" s="863"/>
      <c r="H201" s="863"/>
      <c r="I201" s="863"/>
    </row>
    <row r="202" spans="2:9" ht="24.95" customHeight="1" thickBot="1">
      <c r="B202" s="272" t="s">
        <v>146</v>
      </c>
      <c r="C202" s="1616" t="s">
        <v>383</v>
      </c>
      <c r="D202" s="1616"/>
      <c r="E202" s="1616"/>
      <c r="F202" s="1616"/>
      <c r="G202" s="1616"/>
      <c r="H202" s="1616"/>
      <c r="I202" s="1616"/>
    </row>
    <row r="203" spans="2:9" ht="16.5" customHeight="1" thickBot="1">
      <c r="B203" s="273" t="s">
        <v>206</v>
      </c>
      <c r="C203" s="1717" t="s">
        <v>198</v>
      </c>
      <c r="D203" s="1717"/>
      <c r="E203" s="1717"/>
      <c r="F203" s="1717"/>
      <c r="G203" s="1717"/>
      <c r="H203" s="1717"/>
      <c r="I203" s="1717"/>
    </row>
    <row r="204" spans="2:9" ht="9.9499999999999993" customHeight="1">
      <c r="B204" s="274"/>
      <c r="C204" s="275"/>
      <c r="D204" s="275"/>
      <c r="E204" s="275"/>
      <c r="F204" s="275"/>
      <c r="G204" s="275"/>
      <c r="H204" s="276"/>
      <c r="I204" s="277"/>
    </row>
    <row r="205" spans="2:9" ht="16.5" customHeight="1">
      <c r="B205" s="278" t="s">
        <v>243</v>
      </c>
      <c r="C205" s="1602" t="s">
        <v>199</v>
      </c>
      <c r="D205" s="1602"/>
      <c r="E205" s="1602"/>
      <c r="F205" s="1602"/>
      <c r="G205" s="1602"/>
      <c r="H205" s="1602"/>
      <c r="I205" s="1657"/>
    </row>
    <row r="206" spans="2:9" ht="9.9499999999999993" customHeight="1">
      <c r="B206" s="279"/>
      <c r="C206" s="893"/>
      <c r="D206" s="893"/>
      <c r="E206" s="893"/>
      <c r="F206" s="893"/>
      <c r="G206" s="893"/>
      <c r="H206" s="893"/>
      <c r="I206" s="907"/>
    </row>
    <row r="207" spans="2:9" ht="16.5" customHeight="1">
      <c r="B207" s="278" t="s">
        <v>244</v>
      </c>
      <c r="C207" s="1602" t="s">
        <v>200</v>
      </c>
      <c r="D207" s="1602"/>
      <c r="E207" s="1602" t="s">
        <v>201</v>
      </c>
      <c r="F207" s="1602"/>
      <c r="G207" s="1602"/>
      <c r="H207" s="893"/>
      <c r="I207" s="907"/>
    </row>
    <row r="208" spans="2:9" ht="16.5" customHeight="1">
      <c r="B208" s="279"/>
      <c r="C208" s="893"/>
      <c r="D208" s="893"/>
      <c r="E208" s="1602" t="s">
        <v>202</v>
      </c>
      <c r="F208" s="1602"/>
      <c r="G208" s="1602"/>
      <c r="H208" s="893"/>
      <c r="I208" s="907"/>
    </row>
    <row r="209" spans="2:9" ht="16.5" customHeight="1">
      <c r="B209" s="280"/>
      <c r="C209" s="281"/>
      <c r="D209" s="281"/>
      <c r="E209" s="1602" t="s">
        <v>203</v>
      </c>
      <c r="F209" s="1602"/>
      <c r="G209" s="1602"/>
      <c r="H209" s="1602"/>
      <c r="I209" s="1657"/>
    </row>
    <row r="210" spans="2:9" ht="9.9499999999999993" customHeight="1">
      <c r="B210" s="282"/>
      <c r="C210" s="175"/>
      <c r="D210" s="175"/>
      <c r="E210" s="175"/>
      <c r="F210" s="175"/>
      <c r="G210" s="175"/>
      <c r="H210" s="175"/>
      <c r="I210" s="283"/>
    </row>
    <row r="211" spans="2:9" ht="16.5" customHeight="1">
      <c r="B211" s="284" t="s">
        <v>245</v>
      </c>
      <c r="C211" s="1598" t="s">
        <v>204</v>
      </c>
      <c r="D211" s="1598"/>
      <c r="E211" s="1598"/>
      <c r="F211" s="1598"/>
      <c r="G211" s="1598"/>
      <c r="H211" s="1598"/>
      <c r="I211" s="1613"/>
    </row>
    <row r="212" spans="2:9" ht="16.5" customHeight="1">
      <c r="B212" s="285"/>
      <c r="C212" s="1598"/>
      <c r="D212" s="1598"/>
      <c r="E212" s="1598"/>
      <c r="F212" s="1598"/>
      <c r="G212" s="1598"/>
      <c r="H212" s="1598"/>
      <c r="I212" s="1613"/>
    </row>
    <row r="213" spans="2:9" ht="16.5" customHeight="1">
      <c r="B213" s="285"/>
      <c r="C213" s="1598"/>
      <c r="D213" s="1598"/>
      <c r="E213" s="1598"/>
      <c r="F213" s="1598"/>
      <c r="G213" s="1598"/>
      <c r="H213" s="1598"/>
      <c r="I213" s="1613"/>
    </row>
    <row r="214" spans="2:9" ht="16.5" customHeight="1" thickBot="1">
      <c r="B214" s="286"/>
      <c r="C214" s="1658"/>
      <c r="D214" s="1658"/>
      <c r="E214" s="1658"/>
      <c r="F214" s="1658"/>
      <c r="G214" s="1658"/>
      <c r="H214" s="1658"/>
      <c r="I214" s="1659"/>
    </row>
    <row r="215" spans="2:9" ht="16.5" customHeight="1" thickBot="1">
      <c r="B215" s="174"/>
      <c r="C215" s="865"/>
      <c r="D215" s="865"/>
      <c r="E215" s="865"/>
      <c r="F215" s="865"/>
      <c r="G215" s="865"/>
      <c r="H215" s="865"/>
      <c r="I215" s="865"/>
    </row>
    <row r="216" spans="2:9" ht="17.25" thickBot="1">
      <c r="B216" s="272" t="s">
        <v>146</v>
      </c>
      <c r="C216" s="1616" t="s">
        <v>383</v>
      </c>
      <c r="D216" s="1616"/>
      <c r="E216" s="1616"/>
      <c r="F216" s="1616"/>
      <c r="G216" s="1616"/>
      <c r="H216" s="1616"/>
      <c r="I216" s="1616"/>
    </row>
    <row r="217" spans="2:9" ht="17.25" thickBot="1">
      <c r="B217" s="287" t="s">
        <v>206</v>
      </c>
      <c r="C217" s="1608" t="s">
        <v>209</v>
      </c>
      <c r="D217" s="1608"/>
      <c r="E217" s="1608"/>
      <c r="F217" s="1608"/>
      <c r="G217" s="1608"/>
      <c r="H217" s="1608"/>
      <c r="I217" s="1608"/>
    </row>
    <row r="218" spans="2:9" ht="18" thickBot="1">
      <c r="B218" s="288" t="s">
        <v>147</v>
      </c>
      <c r="C218" s="1609" t="s">
        <v>197</v>
      </c>
      <c r="D218" s="1609"/>
      <c r="E218" s="1609"/>
      <c r="F218" s="1609"/>
      <c r="G218" s="1609"/>
      <c r="H218" s="1609"/>
      <c r="I218" s="1609"/>
    </row>
    <row r="219" spans="2:9" ht="17.25" thickBot="1">
      <c r="B219" s="289" t="s">
        <v>220</v>
      </c>
      <c r="C219" s="1614" t="s">
        <v>221</v>
      </c>
      <c r="D219" s="1614"/>
      <c r="E219" s="1614"/>
      <c r="F219" s="1614"/>
      <c r="G219" s="1614"/>
      <c r="H219" s="1614"/>
      <c r="I219" s="1615"/>
    </row>
    <row r="220" spans="2:9" ht="9.9499999999999993" customHeight="1">
      <c r="B220" s="290"/>
      <c r="C220" s="260"/>
      <c r="D220" s="260"/>
      <c r="E220" s="260"/>
      <c r="F220" s="260"/>
      <c r="G220" s="260"/>
      <c r="H220" s="291"/>
      <c r="I220" s="292"/>
    </row>
    <row r="221" spans="2:9" ht="31.5" customHeight="1">
      <c r="B221" s="1628" t="s">
        <v>246</v>
      </c>
      <c r="C221" s="1660" t="s">
        <v>195</v>
      </c>
      <c r="D221" s="1660"/>
      <c r="E221" s="1660"/>
      <c r="F221" s="1584" t="s">
        <v>196</v>
      </c>
      <c r="G221" s="1611" t="s">
        <v>326</v>
      </c>
      <c r="H221" s="1611"/>
      <c r="I221" s="1612" t="s">
        <v>196</v>
      </c>
    </row>
    <row r="222" spans="2:9">
      <c r="B222" s="1628"/>
      <c r="C222" s="1587" t="s">
        <v>49</v>
      </c>
      <c r="D222" s="1587"/>
      <c r="E222" s="1587"/>
      <c r="F222" s="1584"/>
      <c r="G222" s="1610" t="s">
        <v>627</v>
      </c>
      <c r="H222" s="1610"/>
      <c r="I222" s="1612"/>
    </row>
    <row r="223" spans="2:9" ht="9.9499999999999993" customHeight="1">
      <c r="B223" s="875"/>
      <c r="C223" s="160"/>
      <c r="D223" s="160"/>
      <c r="E223" s="160"/>
      <c r="F223" s="160"/>
      <c r="G223" s="887"/>
      <c r="H223" s="145"/>
      <c r="I223" s="293"/>
    </row>
    <row r="224" spans="2:9" ht="16.5" customHeight="1">
      <c r="B224" s="294" t="s">
        <v>247</v>
      </c>
      <c r="C224" s="1598" t="s">
        <v>626</v>
      </c>
      <c r="D224" s="1598"/>
      <c r="E224" s="1598"/>
      <c r="F224" s="1598"/>
      <c r="G224" s="1598"/>
      <c r="H224" s="1598"/>
      <c r="I224" s="1613"/>
    </row>
    <row r="225" spans="2:9" ht="16.5" customHeight="1">
      <c r="B225" s="282"/>
      <c r="C225" s="1598"/>
      <c r="D225" s="1598"/>
      <c r="E225" s="1598"/>
      <c r="F225" s="1598"/>
      <c r="G225" s="1598"/>
      <c r="H225" s="1598"/>
      <c r="I225" s="1613"/>
    </row>
    <row r="226" spans="2:9" ht="16.5" customHeight="1">
      <c r="B226" s="282"/>
      <c r="C226" s="1598"/>
      <c r="D226" s="1598"/>
      <c r="E226" s="1598"/>
      <c r="F226" s="1598"/>
      <c r="G226" s="1598"/>
      <c r="H226" s="1598"/>
      <c r="I226" s="1613"/>
    </row>
    <row r="227" spans="2:9" ht="16.5" customHeight="1">
      <c r="B227" s="282"/>
      <c r="C227" s="1598"/>
      <c r="D227" s="1598"/>
      <c r="E227" s="1598"/>
      <c r="F227" s="1598"/>
      <c r="G227" s="1598"/>
      <c r="H227" s="1598"/>
      <c r="I227" s="1613"/>
    </row>
    <row r="228" spans="2:9" ht="16.5" customHeight="1">
      <c r="B228" s="282"/>
      <c r="C228" s="1598"/>
      <c r="D228" s="1598"/>
      <c r="E228" s="1598"/>
      <c r="F228" s="1598"/>
      <c r="G228" s="1598"/>
      <c r="H228" s="1598"/>
      <c r="I228" s="1613"/>
    </row>
    <row r="229" spans="2:9" ht="16.5" customHeight="1">
      <c r="B229" s="282"/>
      <c r="C229" s="1598"/>
      <c r="D229" s="1598"/>
      <c r="E229" s="1598"/>
      <c r="F229" s="1598"/>
      <c r="G229" s="1598"/>
      <c r="H229" s="1598"/>
      <c r="I229" s="1613"/>
    </row>
    <row r="230" spans="2:9" ht="16.5" customHeight="1">
      <c r="B230" s="282"/>
      <c r="C230" s="1598"/>
      <c r="D230" s="1598"/>
      <c r="E230" s="1598"/>
      <c r="F230" s="1598"/>
      <c r="G230" s="1598"/>
      <c r="H230" s="1598"/>
      <c r="I230" s="1613"/>
    </row>
    <row r="231" spans="2:9" ht="16.5" customHeight="1">
      <c r="B231" s="282"/>
      <c r="C231" s="1598"/>
      <c r="D231" s="1598"/>
      <c r="E231" s="1598"/>
      <c r="F231" s="1598"/>
      <c r="G231" s="1598"/>
      <c r="H231" s="1598"/>
      <c r="I231" s="1613"/>
    </row>
    <row r="232" spans="2:9" ht="16.5" customHeight="1">
      <c r="B232" s="282"/>
      <c r="C232" s="1598"/>
      <c r="D232" s="1598"/>
      <c r="E232" s="1598"/>
      <c r="F232" s="1598"/>
      <c r="G232" s="1598"/>
      <c r="H232" s="1598"/>
      <c r="I232" s="1613"/>
    </row>
    <row r="233" spans="2:9" ht="16.5" customHeight="1">
      <c r="B233" s="282"/>
      <c r="C233" s="1598"/>
      <c r="D233" s="1598"/>
      <c r="E233" s="1598"/>
      <c r="F233" s="1598"/>
      <c r="G233" s="1598"/>
      <c r="H233" s="1598"/>
      <c r="I233" s="1613"/>
    </row>
    <row r="234" spans="2:9" ht="16.5" customHeight="1">
      <c r="B234" s="282"/>
      <c r="C234" s="1598"/>
      <c r="D234" s="1598"/>
      <c r="E234" s="1598"/>
      <c r="F234" s="1598"/>
      <c r="G234" s="1598"/>
      <c r="H234" s="1598"/>
      <c r="I234" s="1613"/>
    </row>
    <row r="235" spans="2:9" ht="9" customHeight="1">
      <c r="B235" s="282"/>
      <c r="C235" s="175"/>
      <c r="D235" s="175"/>
      <c r="E235" s="175"/>
      <c r="F235" s="175"/>
      <c r="G235" s="175"/>
      <c r="H235" s="175"/>
      <c r="I235" s="283"/>
    </row>
    <row r="236" spans="2:9" ht="16.5" customHeight="1">
      <c r="B236" s="284" t="s">
        <v>248</v>
      </c>
      <c r="C236" s="1632" t="s">
        <v>625</v>
      </c>
      <c r="D236" s="1632"/>
      <c r="E236" s="1632"/>
      <c r="F236" s="1632"/>
      <c r="G236" s="1632"/>
      <c r="H236" s="1632"/>
      <c r="I236" s="1633"/>
    </row>
    <row r="237" spans="2:9" ht="36.75" customHeight="1">
      <c r="B237" s="284"/>
      <c r="C237" s="1632"/>
      <c r="D237" s="1632"/>
      <c r="E237" s="1632"/>
      <c r="F237" s="1632"/>
      <c r="G237" s="1632"/>
      <c r="H237" s="1632"/>
      <c r="I237" s="1633"/>
    </row>
    <row r="238" spans="2:9" ht="12" customHeight="1">
      <c r="B238" s="282"/>
      <c r="C238" s="878"/>
      <c r="D238" s="878"/>
      <c r="E238" s="878"/>
      <c r="F238" s="878"/>
      <c r="G238" s="878"/>
      <c r="H238" s="878"/>
      <c r="I238" s="295"/>
    </row>
    <row r="239" spans="2:9" ht="16.5" customHeight="1">
      <c r="B239" s="294" t="s">
        <v>249</v>
      </c>
      <c r="C239" s="1598" t="s">
        <v>218</v>
      </c>
      <c r="D239" s="1598"/>
      <c r="E239" s="1598"/>
      <c r="F239" s="1598"/>
      <c r="G239" s="1598"/>
      <c r="H239" s="1598"/>
      <c r="I239" s="1613"/>
    </row>
    <row r="240" spans="2:9" ht="16.5" customHeight="1">
      <c r="B240" s="294"/>
      <c r="C240" s="1598"/>
      <c r="D240" s="1598"/>
      <c r="E240" s="1598"/>
      <c r="F240" s="1598"/>
      <c r="G240" s="1598"/>
      <c r="H240" s="1598"/>
      <c r="I240" s="1613"/>
    </row>
    <row r="241" spans="2:9" ht="16.5" customHeight="1">
      <c r="B241" s="294"/>
      <c r="C241" s="1598"/>
      <c r="D241" s="1598"/>
      <c r="E241" s="1598"/>
      <c r="F241" s="1598"/>
      <c r="G241" s="1598"/>
      <c r="H241" s="1598"/>
      <c r="I241" s="1613"/>
    </row>
    <row r="242" spans="2:9" ht="16.5" customHeight="1">
      <c r="B242" s="294"/>
      <c r="C242" s="1598"/>
      <c r="D242" s="1598"/>
      <c r="E242" s="1598"/>
      <c r="F242" s="1598"/>
      <c r="G242" s="1598"/>
      <c r="H242" s="1598"/>
      <c r="I242" s="1613"/>
    </row>
    <row r="243" spans="2:9" ht="9.9499999999999993" customHeight="1">
      <c r="B243" s="294"/>
      <c r="C243" s="175"/>
      <c r="D243" s="175"/>
      <c r="E243" s="175"/>
      <c r="F243" s="175"/>
      <c r="G243" s="175"/>
      <c r="H243" s="175"/>
      <c r="I243" s="283"/>
    </row>
    <row r="244" spans="2:9" ht="16.5" customHeight="1">
      <c r="B244" s="294" t="s">
        <v>250</v>
      </c>
      <c r="C244" s="1596" t="s">
        <v>205</v>
      </c>
      <c r="D244" s="1596"/>
      <c r="E244" s="1596"/>
      <c r="F244" s="1596"/>
      <c r="G244" s="1596"/>
      <c r="H244" s="1596"/>
      <c r="I244" s="1604"/>
    </row>
    <row r="245" spans="2:9">
      <c r="B245" s="296"/>
      <c r="C245" s="1596"/>
      <c r="D245" s="1596"/>
      <c r="E245" s="1596"/>
      <c r="F245" s="1596"/>
      <c r="G245" s="1596"/>
      <c r="H245" s="1596"/>
      <c r="I245" s="1604"/>
    </row>
    <row r="246" spans="2:9" ht="9.9499999999999993" customHeight="1" thickBot="1">
      <c r="B246" s="297"/>
      <c r="C246" s="1605"/>
      <c r="D246" s="1605"/>
      <c r="E246" s="1605"/>
      <c r="F246" s="1605"/>
      <c r="G246" s="1605"/>
      <c r="H246" s="1605"/>
      <c r="I246" s="1606"/>
    </row>
    <row r="247" spans="2:9" ht="17.25" thickBot="1"/>
    <row r="248" spans="2:9" ht="24.95" customHeight="1" thickBot="1">
      <c r="B248" s="298" t="s">
        <v>146</v>
      </c>
      <c r="C248" s="1682" t="s">
        <v>383</v>
      </c>
      <c r="D248" s="1682"/>
      <c r="E248" s="1682"/>
      <c r="F248" s="1682"/>
      <c r="G248" s="1682"/>
      <c r="H248" s="1682"/>
      <c r="I248" s="1682"/>
    </row>
    <row r="249" spans="2:9" ht="17.25" thickBot="1">
      <c r="B249" s="299" t="s">
        <v>206</v>
      </c>
      <c r="C249" s="1738" t="s">
        <v>198</v>
      </c>
      <c r="D249" s="1738"/>
      <c r="E249" s="1738"/>
      <c r="F249" s="1738"/>
      <c r="G249" s="1738"/>
      <c r="H249" s="1738"/>
      <c r="I249" s="1738"/>
    </row>
    <row r="250" spans="2:9" ht="18" thickBot="1">
      <c r="B250" s="300" t="s">
        <v>147</v>
      </c>
      <c r="C250" s="1665" t="s">
        <v>12</v>
      </c>
      <c r="D250" s="1665"/>
      <c r="E250" s="1665"/>
      <c r="F250" s="1665"/>
      <c r="G250" s="1665"/>
      <c r="H250" s="1665"/>
      <c r="I250" s="1665"/>
    </row>
    <row r="251" spans="2:9" ht="17.25" thickBot="1">
      <c r="B251" s="564" t="s">
        <v>220</v>
      </c>
      <c r="C251" s="1739" t="s">
        <v>221</v>
      </c>
      <c r="D251" s="1739"/>
      <c r="E251" s="1739"/>
      <c r="F251" s="1739"/>
      <c r="G251" s="1739"/>
      <c r="H251" s="1739"/>
      <c r="I251" s="1740"/>
    </row>
    <row r="252" spans="2:9" ht="9.9499999999999993" customHeight="1">
      <c r="B252" s="565"/>
      <c r="C252" s="275"/>
      <c r="D252" s="275"/>
      <c r="E252" s="275"/>
      <c r="F252" s="275"/>
      <c r="G252" s="275"/>
      <c r="H252" s="276"/>
      <c r="I252" s="566"/>
    </row>
    <row r="253" spans="2:9">
      <c r="B253" s="1736" t="s">
        <v>246</v>
      </c>
      <c r="C253" s="1583" t="s">
        <v>325</v>
      </c>
      <c r="D253" s="1583"/>
      <c r="E253" s="1583"/>
      <c r="F253" s="1583"/>
      <c r="G253" s="1584" t="s">
        <v>208</v>
      </c>
      <c r="H253" s="143"/>
      <c r="I253" s="1737"/>
    </row>
    <row r="254" spans="2:9">
      <c r="B254" s="1736"/>
      <c r="C254" s="1624" t="s">
        <v>207</v>
      </c>
      <c r="D254" s="1624"/>
      <c r="E254" s="1624"/>
      <c r="F254" s="1624"/>
      <c r="G254" s="1584"/>
      <c r="H254" s="145"/>
      <c r="I254" s="1737"/>
    </row>
    <row r="255" spans="2:9">
      <c r="B255" s="873"/>
      <c r="C255" s="160"/>
      <c r="D255" s="160"/>
      <c r="E255" s="160"/>
      <c r="F255" s="160"/>
      <c r="G255" s="887"/>
      <c r="H255" s="145"/>
      <c r="I255" s="567"/>
    </row>
    <row r="256" spans="2:9" ht="16.5" customHeight="1">
      <c r="B256" s="568" t="s">
        <v>247</v>
      </c>
      <c r="C256" s="1598" t="s">
        <v>419</v>
      </c>
      <c r="D256" s="1598"/>
      <c r="E256" s="1598"/>
      <c r="F256" s="1598"/>
      <c r="G256" s="1598"/>
      <c r="H256" s="1598"/>
      <c r="I256" s="1607"/>
    </row>
    <row r="257" spans="2:9">
      <c r="B257" s="569"/>
      <c r="C257" s="1598"/>
      <c r="D257" s="1598"/>
      <c r="E257" s="1598"/>
      <c r="F257" s="1598"/>
      <c r="G257" s="1598"/>
      <c r="H257" s="1598"/>
      <c r="I257" s="1607"/>
    </row>
    <row r="258" spans="2:9">
      <c r="B258" s="569"/>
      <c r="C258" s="1598"/>
      <c r="D258" s="1598"/>
      <c r="E258" s="1598"/>
      <c r="F258" s="1598"/>
      <c r="G258" s="1598"/>
      <c r="H258" s="1598"/>
      <c r="I258" s="1607"/>
    </row>
    <row r="259" spans="2:9">
      <c r="B259" s="569"/>
      <c r="C259" s="1598"/>
      <c r="D259" s="1598"/>
      <c r="E259" s="1598"/>
      <c r="F259" s="1598"/>
      <c r="G259" s="1598"/>
      <c r="H259" s="1598"/>
      <c r="I259" s="1607"/>
    </row>
    <row r="260" spans="2:9">
      <c r="B260" s="569"/>
      <c r="C260" s="1598"/>
      <c r="D260" s="1598"/>
      <c r="E260" s="1598"/>
      <c r="F260" s="1598"/>
      <c r="G260" s="1598"/>
      <c r="H260" s="1598"/>
      <c r="I260" s="1607"/>
    </row>
    <row r="261" spans="2:9" ht="16.5" customHeight="1">
      <c r="B261" s="569"/>
      <c r="C261" s="1598"/>
      <c r="D261" s="1598"/>
      <c r="E261" s="1598"/>
      <c r="F261" s="1598"/>
      <c r="G261" s="1598"/>
      <c r="H261" s="1598"/>
      <c r="I261" s="1607"/>
    </row>
    <row r="262" spans="2:9">
      <c r="B262" s="569"/>
      <c r="C262" s="1598"/>
      <c r="D262" s="1598"/>
      <c r="E262" s="1598"/>
      <c r="F262" s="1598"/>
      <c r="G262" s="1598"/>
      <c r="H262" s="1598"/>
      <c r="I262" s="1607"/>
    </row>
    <row r="263" spans="2:9" ht="16.5" customHeight="1">
      <c r="B263" s="569"/>
      <c r="C263" s="1598"/>
      <c r="D263" s="1598"/>
      <c r="E263" s="1598"/>
      <c r="F263" s="1598"/>
      <c r="G263" s="1598"/>
      <c r="H263" s="1598"/>
      <c r="I263" s="1607"/>
    </row>
    <row r="264" spans="2:9" ht="16.5" customHeight="1">
      <c r="B264" s="569"/>
      <c r="C264" s="1598"/>
      <c r="D264" s="1598"/>
      <c r="E264" s="1598"/>
      <c r="F264" s="1598"/>
      <c r="G264" s="1598"/>
      <c r="H264" s="1598"/>
      <c r="I264" s="1607"/>
    </row>
    <row r="265" spans="2:9" ht="9.9499999999999993" customHeight="1">
      <c r="B265" s="569"/>
      <c r="C265" s="1598"/>
      <c r="D265" s="1598"/>
      <c r="E265" s="1598"/>
      <c r="F265" s="1598"/>
      <c r="G265" s="1598"/>
      <c r="H265" s="1598"/>
      <c r="I265" s="1607"/>
    </row>
    <row r="266" spans="2:9" ht="9.9499999999999993" customHeight="1">
      <c r="B266" s="569"/>
      <c r="C266" s="865"/>
      <c r="D266" s="865"/>
      <c r="E266" s="865"/>
      <c r="F266" s="865"/>
      <c r="G266" s="865"/>
      <c r="H266" s="865"/>
      <c r="I266" s="892"/>
    </row>
    <row r="267" spans="2:9" ht="16.5" customHeight="1">
      <c r="B267" s="570" t="s">
        <v>248</v>
      </c>
      <c r="C267" s="1632" t="s">
        <v>651</v>
      </c>
      <c r="D267" s="1632"/>
      <c r="E267" s="1632"/>
      <c r="F267" s="1632"/>
      <c r="G267" s="1632"/>
      <c r="H267" s="1632"/>
      <c r="I267" s="1741"/>
    </row>
    <row r="268" spans="2:9" ht="16.5" customHeight="1">
      <c r="B268" s="571"/>
      <c r="C268" s="1632"/>
      <c r="D268" s="1632"/>
      <c r="E268" s="1632"/>
      <c r="F268" s="1632"/>
      <c r="G268" s="1632"/>
      <c r="H268" s="1632"/>
      <c r="I268" s="1741"/>
    </row>
    <row r="269" spans="2:9" ht="9.75" customHeight="1">
      <c r="B269" s="571"/>
      <c r="C269" s="1632"/>
      <c r="D269" s="1632"/>
      <c r="E269" s="1632"/>
      <c r="F269" s="1632"/>
      <c r="G269" s="1632"/>
      <c r="H269" s="1632"/>
      <c r="I269" s="1741"/>
    </row>
    <row r="270" spans="2:9" ht="9.9499999999999993" customHeight="1">
      <c r="B270" s="569"/>
      <c r="C270" s="878"/>
      <c r="D270" s="878"/>
      <c r="E270" s="878"/>
      <c r="F270" s="878"/>
      <c r="G270" s="878"/>
      <c r="H270" s="878"/>
      <c r="I270" s="572"/>
    </row>
    <row r="271" spans="2:9" ht="16.5" customHeight="1">
      <c r="B271" s="568" t="s">
        <v>249</v>
      </c>
      <c r="C271" s="1598" t="s">
        <v>210</v>
      </c>
      <c r="D271" s="1598"/>
      <c r="E271" s="1598"/>
      <c r="F271" s="1598"/>
      <c r="G271" s="1598"/>
      <c r="H271" s="1598"/>
      <c r="I271" s="1607"/>
    </row>
    <row r="272" spans="2:9" ht="16.5" customHeight="1">
      <c r="B272" s="568"/>
      <c r="C272" s="1598"/>
      <c r="D272" s="1598"/>
      <c r="E272" s="1598"/>
      <c r="F272" s="1598"/>
      <c r="G272" s="1598"/>
      <c r="H272" s="1598"/>
      <c r="I272" s="1607"/>
    </row>
    <row r="273" spans="2:9" ht="25.5" customHeight="1">
      <c r="B273" s="568"/>
      <c r="C273" s="1598"/>
      <c r="D273" s="1598"/>
      <c r="E273" s="1598"/>
      <c r="F273" s="1598"/>
      <c r="G273" s="1598"/>
      <c r="H273" s="1598"/>
      <c r="I273" s="1607"/>
    </row>
    <row r="274" spans="2:9" ht="9.9499999999999993" customHeight="1">
      <c r="B274" s="568"/>
      <c r="C274" s="865"/>
      <c r="D274" s="865"/>
      <c r="E274" s="865"/>
      <c r="F274" s="865"/>
      <c r="G274" s="865"/>
      <c r="H274" s="865"/>
      <c r="I274" s="892"/>
    </row>
    <row r="275" spans="2:9" ht="16.5" customHeight="1">
      <c r="B275" s="568" t="s">
        <v>250</v>
      </c>
      <c r="C275" s="1596" t="s">
        <v>213</v>
      </c>
      <c r="D275" s="1596"/>
      <c r="E275" s="1596"/>
      <c r="F275" s="1596"/>
      <c r="G275" s="1596"/>
      <c r="H275" s="1596"/>
      <c r="I275" s="1667"/>
    </row>
    <row r="276" spans="2:9" ht="12" customHeight="1">
      <c r="B276" s="573"/>
      <c r="C276" s="1596"/>
      <c r="D276" s="1596"/>
      <c r="E276" s="1596"/>
      <c r="F276" s="1596"/>
      <c r="G276" s="1596"/>
      <c r="H276" s="1596"/>
      <c r="I276" s="1667"/>
    </row>
    <row r="277" spans="2:9" ht="9.9499999999999993" customHeight="1" thickBot="1">
      <c r="B277" s="574"/>
      <c r="C277" s="302"/>
      <c r="D277" s="302"/>
      <c r="E277" s="302"/>
      <c r="F277" s="302"/>
      <c r="G277" s="302"/>
      <c r="H277" s="302"/>
      <c r="I277" s="575"/>
    </row>
    <row r="278" spans="2:9" ht="17.25" thickBot="1"/>
    <row r="279" spans="2:9" ht="24.95" customHeight="1" thickBot="1">
      <c r="B279" s="272" t="s">
        <v>146</v>
      </c>
      <c r="C279" s="1616" t="s">
        <v>383</v>
      </c>
      <c r="D279" s="1616"/>
      <c r="E279" s="1616"/>
      <c r="F279" s="1616"/>
      <c r="G279" s="1616"/>
      <c r="H279" s="1616"/>
      <c r="I279" s="1616"/>
    </row>
    <row r="280" spans="2:9" ht="17.25" customHeight="1" thickBot="1">
      <c r="B280" s="287" t="s">
        <v>206</v>
      </c>
      <c r="C280" s="1608" t="s">
        <v>198</v>
      </c>
      <c r="D280" s="1608"/>
      <c r="E280" s="1608"/>
      <c r="F280" s="1608"/>
      <c r="G280" s="1608"/>
      <c r="H280" s="1608"/>
      <c r="I280" s="1608"/>
    </row>
    <row r="281" spans="2:9" ht="18" customHeight="1" thickBot="1">
      <c r="B281" s="288" t="s">
        <v>147</v>
      </c>
      <c r="C281" s="1609" t="s">
        <v>211</v>
      </c>
      <c r="D281" s="1609"/>
      <c r="E281" s="1609"/>
      <c r="F281" s="1609"/>
      <c r="G281" s="1609"/>
      <c r="H281" s="1609"/>
      <c r="I281" s="1609"/>
    </row>
    <row r="282" spans="2:9" ht="17.25" customHeight="1" thickBot="1">
      <c r="B282" s="304" t="s">
        <v>220</v>
      </c>
      <c r="C282" s="1614" t="s">
        <v>221</v>
      </c>
      <c r="D282" s="1614"/>
      <c r="E282" s="1614"/>
      <c r="F282" s="1614"/>
      <c r="G282" s="1614"/>
      <c r="H282" s="1614"/>
      <c r="I282" s="1615"/>
    </row>
    <row r="283" spans="2:9" ht="9.9499999999999993" customHeight="1">
      <c r="B283" s="274"/>
      <c r="C283" s="275"/>
      <c r="D283" s="275"/>
      <c r="E283" s="275"/>
      <c r="F283" s="275"/>
      <c r="G283" s="275"/>
      <c r="H283" s="276"/>
      <c r="I283" s="277"/>
    </row>
    <row r="284" spans="2:9">
      <c r="B284" s="1628" t="s">
        <v>246</v>
      </c>
      <c r="C284" s="1583" t="s">
        <v>325</v>
      </c>
      <c r="D284" s="1583"/>
      <c r="E284" s="1583"/>
      <c r="F284" s="1583"/>
      <c r="G284" s="1584" t="s">
        <v>196</v>
      </c>
      <c r="H284" s="143"/>
      <c r="I284" s="1612"/>
    </row>
    <row r="285" spans="2:9">
      <c r="B285" s="1628"/>
      <c r="C285" s="1624" t="s">
        <v>216</v>
      </c>
      <c r="D285" s="1624"/>
      <c r="E285" s="1624"/>
      <c r="F285" s="1624"/>
      <c r="G285" s="1584"/>
      <c r="H285" s="145"/>
      <c r="I285" s="1612"/>
    </row>
    <row r="286" spans="2:9">
      <c r="B286" s="875"/>
      <c r="C286" s="160"/>
      <c r="D286" s="160"/>
      <c r="E286" s="160"/>
      <c r="F286" s="160"/>
      <c r="G286" s="887"/>
      <c r="H286" s="145"/>
      <c r="I286" s="293"/>
    </row>
    <row r="287" spans="2:9" ht="16.5" customHeight="1">
      <c r="B287" s="294" t="s">
        <v>247</v>
      </c>
      <c r="C287" s="1630" t="s">
        <v>420</v>
      </c>
      <c r="D287" s="1598"/>
      <c r="E287" s="1598"/>
      <c r="F287" s="1598"/>
      <c r="G287" s="1598"/>
      <c r="H287" s="1598"/>
      <c r="I287" s="1613"/>
    </row>
    <row r="288" spans="2:9">
      <c r="B288" s="282"/>
      <c r="C288" s="1598"/>
      <c r="D288" s="1598"/>
      <c r="E288" s="1598"/>
      <c r="F288" s="1598"/>
      <c r="G288" s="1598"/>
      <c r="H288" s="1598"/>
      <c r="I288" s="1613"/>
    </row>
    <row r="289" spans="2:9">
      <c r="B289" s="282"/>
      <c r="C289" s="1598"/>
      <c r="D289" s="1598"/>
      <c r="E289" s="1598"/>
      <c r="F289" s="1598"/>
      <c r="G289" s="1598"/>
      <c r="H289" s="1598"/>
      <c r="I289" s="1613"/>
    </row>
    <row r="290" spans="2:9" ht="24.75" customHeight="1">
      <c r="B290" s="282"/>
      <c r="C290" s="1598"/>
      <c r="D290" s="1598"/>
      <c r="E290" s="1598"/>
      <c r="F290" s="1598"/>
      <c r="G290" s="1598"/>
      <c r="H290" s="1598"/>
      <c r="I290" s="1613"/>
    </row>
    <row r="291" spans="2:9" ht="15" customHeight="1">
      <c r="B291" s="282"/>
      <c r="C291" s="1598"/>
      <c r="D291" s="1598"/>
      <c r="E291" s="1598"/>
      <c r="F291" s="1598"/>
      <c r="G291" s="1598"/>
      <c r="H291" s="1598"/>
      <c r="I291" s="1613"/>
    </row>
    <row r="292" spans="2:9" ht="15" customHeight="1">
      <c r="B292" s="282"/>
      <c r="C292" s="1598"/>
      <c r="D292" s="1598"/>
      <c r="E292" s="1598"/>
      <c r="F292" s="1598"/>
      <c r="G292" s="1598"/>
      <c r="H292" s="1598"/>
      <c r="I292" s="1613"/>
    </row>
    <row r="293" spans="2:9" ht="9.9499999999999993" customHeight="1">
      <c r="B293" s="282"/>
      <c r="C293" s="865"/>
      <c r="D293" s="865"/>
      <c r="E293" s="865"/>
      <c r="F293" s="865"/>
      <c r="G293" s="865"/>
      <c r="H293" s="865"/>
      <c r="I293" s="877"/>
    </row>
    <row r="294" spans="2:9" ht="16.5" customHeight="1">
      <c r="B294" s="284" t="s">
        <v>248</v>
      </c>
      <c r="C294" s="1632" t="s">
        <v>217</v>
      </c>
      <c r="D294" s="1632"/>
      <c r="E294" s="1632"/>
      <c r="F294" s="1632"/>
      <c r="G294" s="1632"/>
      <c r="H294" s="1632"/>
      <c r="I294" s="1633"/>
    </row>
    <row r="295" spans="2:9" ht="12" customHeight="1">
      <c r="B295" s="301"/>
      <c r="C295" s="1632"/>
      <c r="D295" s="1632"/>
      <c r="E295" s="1632"/>
      <c r="F295" s="1632"/>
      <c r="G295" s="1632"/>
      <c r="H295" s="1632"/>
      <c r="I295" s="1633"/>
    </row>
    <row r="296" spans="2:9" ht="9.9499999999999993" customHeight="1">
      <c r="B296" s="282"/>
      <c r="C296" s="878"/>
      <c r="D296" s="878"/>
      <c r="E296" s="878"/>
      <c r="F296" s="878"/>
      <c r="G296" s="878"/>
      <c r="H296" s="878"/>
      <c r="I296" s="295"/>
    </row>
    <row r="297" spans="2:9">
      <c r="B297" s="294" t="s">
        <v>249</v>
      </c>
      <c r="C297" s="1598" t="s">
        <v>219</v>
      </c>
      <c r="D297" s="1598"/>
      <c r="E297" s="1598"/>
      <c r="F297" s="1598"/>
      <c r="G297" s="1598"/>
      <c r="H297" s="1598"/>
      <c r="I297" s="1613"/>
    </row>
    <row r="298" spans="2:9" ht="9.9499999999999993" customHeight="1">
      <c r="B298" s="294"/>
      <c r="C298" s="865"/>
      <c r="D298" s="865"/>
      <c r="E298" s="865"/>
      <c r="F298" s="865"/>
      <c r="G298" s="865"/>
      <c r="H298" s="865"/>
      <c r="I298" s="877"/>
    </row>
    <row r="299" spans="2:9">
      <c r="B299" s="294" t="s">
        <v>250</v>
      </c>
      <c r="C299" s="1596" t="s">
        <v>212</v>
      </c>
      <c r="D299" s="1596"/>
      <c r="E299" s="1596"/>
      <c r="F299" s="1596"/>
      <c r="G299" s="1596"/>
      <c r="H299" s="1596"/>
      <c r="I299" s="1604"/>
    </row>
    <row r="300" spans="2:9" ht="12" customHeight="1">
      <c r="B300" s="296"/>
      <c r="C300" s="1596"/>
      <c r="D300" s="1596"/>
      <c r="E300" s="1596"/>
      <c r="F300" s="1596"/>
      <c r="G300" s="1596"/>
      <c r="H300" s="1596"/>
      <c r="I300" s="1604"/>
    </row>
    <row r="301" spans="2:9" ht="9.9499999999999993" customHeight="1" thickBot="1">
      <c r="B301" s="297"/>
      <c r="C301" s="302"/>
      <c r="D301" s="302"/>
      <c r="E301" s="302"/>
      <c r="F301" s="302"/>
      <c r="G301" s="302"/>
      <c r="H301" s="302"/>
      <c r="I301" s="303"/>
    </row>
    <row r="302" spans="2:9" ht="16.5" customHeight="1" thickBot="1">
      <c r="B302" s="120"/>
      <c r="C302" s="350"/>
      <c r="D302" s="350"/>
      <c r="E302" s="350"/>
      <c r="F302" s="350"/>
      <c r="G302" s="350"/>
      <c r="H302" s="350"/>
      <c r="I302" s="350"/>
    </row>
    <row r="303" spans="2:9" ht="24.95" customHeight="1" thickBot="1">
      <c r="B303" s="272" t="s">
        <v>146</v>
      </c>
      <c r="C303" s="1616" t="s">
        <v>383</v>
      </c>
      <c r="D303" s="1616"/>
      <c r="E303" s="1616"/>
      <c r="F303" s="1616"/>
      <c r="G303" s="1616"/>
      <c r="H303" s="1616"/>
      <c r="I303" s="1616"/>
    </row>
    <row r="304" spans="2:9" ht="17.25" customHeight="1" thickBot="1">
      <c r="B304" s="287" t="s">
        <v>206</v>
      </c>
      <c r="C304" s="1608" t="s">
        <v>198</v>
      </c>
      <c r="D304" s="1608"/>
      <c r="E304" s="1608"/>
      <c r="F304" s="1608"/>
      <c r="G304" s="1608"/>
      <c r="H304" s="1608"/>
      <c r="I304" s="1608"/>
    </row>
    <row r="305" spans="2:9" ht="17.25" customHeight="1" thickBot="1">
      <c r="B305" s="288" t="s">
        <v>147</v>
      </c>
      <c r="C305" s="1609" t="s">
        <v>11</v>
      </c>
      <c r="D305" s="1609"/>
      <c r="E305" s="1609"/>
      <c r="F305" s="1609"/>
      <c r="G305" s="1609"/>
      <c r="H305" s="1609"/>
      <c r="I305" s="1609"/>
    </row>
    <row r="306" spans="2:9" ht="17.25" customHeight="1" thickBot="1">
      <c r="B306" s="304" t="s">
        <v>220</v>
      </c>
      <c r="C306" s="1614" t="s">
        <v>221</v>
      </c>
      <c r="D306" s="1614"/>
      <c r="E306" s="1614"/>
      <c r="F306" s="1614"/>
      <c r="G306" s="1614"/>
      <c r="H306" s="1614"/>
      <c r="I306" s="1615"/>
    </row>
    <row r="307" spans="2:9" ht="5.0999999999999996" customHeight="1">
      <c r="B307" s="274"/>
      <c r="C307" s="275"/>
      <c r="D307" s="275"/>
      <c r="E307" s="275"/>
      <c r="F307" s="275"/>
      <c r="G307" s="275"/>
      <c r="H307" s="276"/>
      <c r="I307" s="277"/>
    </row>
    <row r="308" spans="2:9" ht="17.25" customHeight="1">
      <c r="B308" s="1628" t="s">
        <v>246</v>
      </c>
      <c r="C308" s="1583" t="s">
        <v>776</v>
      </c>
      <c r="D308" s="1583"/>
      <c r="E308" s="1583"/>
      <c r="F308" s="1583"/>
      <c r="G308" s="1584" t="s">
        <v>196</v>
      </c>
      <c r="H308" s="143"/>
      <c r="I308" s="1612"/>
    </row>
    <row r="309" spans="2:9" ht="17.25" customHeight="1">
      <c r="B309" s="1628"/>
      <c r="C309" s="1624" t="s">
        <v>195</v>
      </c>
      <c r="D309" s="1624"/>
      <c r="E309" s="1624"/>
      <c r="F309" s="1624"/>
      <c r="G309" s="1584"/>
      <c r="H309" s="145"/>
      <c r="I309" s="1612"/>
    </row>
    <row r="310" spans="2:9" ht="17.25" customHeight="1">
      <c r="B310" s="875"/>
      <c r="C310" s="160"/>
      <c r="D310" s="160"/>
      <c r="E310" s="160"/>
      <c r="F310" s="160"/>
      <c r="G310" s="887"/>
      <c r="H310" s="145"/>
      <c r="I310" s="293"/>
    </row>
    <row r="311" spans="2:9" ht="17.25" customHeight="1">
      <c r="B311" s="294" t="s">
        <v>247</v>
      </c>
      <c r="C311" s="1630" t="s">
        <v>777</v>
      </c>
      <c r="D311" s="1630"/>
      <c r="E311" s="1630"/>
      <c r="F311" s="1630"/>
      <c r="G311" s="1630"/>
      <c r="H311" s="1630"/>
      <c r="I311" s="1631"/>
    </row>
    <row r="312" spans="2:9" ht="17.25" customHeight="1">
      <c r="B312" s="282"/>
      <c r="C312" s="1630"/>
      <c r="D312" s="1630"/>
      <c r="E312" s="1630"/>
      <c r="F312" s="1630"/>
      <c r="G312" s="1630"/>
      <c r="H312" s="1630"/>
      <c r="I312" s="1631"/>
    </row>
    <row r="313" spans="2:9" ht="17.25" customHeight="1">
      <c r="B313" s="282"/>
      <c r="C313" s="1630"/>
      <c r="D313" s="1630"/>
      <c r="E313" s="1630"/>
      <c r="F313" s="1630"/>
      <c r="G313" s="1630"/>
      <c r="H313" s="1630"/>
      <c r="I313" s="1631"/>
    </row>
    <row r="314" spans="2:9" ht="17.25" customHeight="1">
      <c r="B314" s="282"/>
      <c r="C314" s="1630"/>
      <c r="D314" s="1630"/>
      <c r="E314" s="1630"/>
      <c r="F314" s="1630"/>
      <c r="G314" s="1630"/>
      <c r="H314" s="1630"/>
      <c r="I314" s="1631"/>
    </row>
    <row r="315" spans="2:9" ht="17.25" customHeight="1">
      <c r="B315" s="282"/>
      <c r="C315" s="1630"/>
      <c r="D315" s="1630"/>
      <c r="E315" s="1630"/>
      <c r="F315" s="1630"/>
      <c r="G315" s="1630"/>
      <c r="H315" s="1630"/>
      <c r="I315" s="1631"/>
    </row>
    <row r="316" spans="2:9" ht="17.25" customHeight="1">
      <c r="B316" s="282"/>
      <c r="C316" s="1630"/>
      <c r="D316" s="1630"/>
      <c r="E316" s="1630"/>
      <c r="F316" s="1630"/>
      <c r="G316" s="1630"/>
      <c r="H316" s="1630"/>
      <c r="I316" s="1631"/>
    </row>
    <row r="317" spans="2:9" ht="17.25" customHeight="1">
      <c r="B317" s="282"/>
      <c r="C317" s="1630"/>
      <c r="D317" s="1630"/>
      <c r="E317" s="1630"/>
      <c r="F317" s="1630"/>
      <c r="G317" s="1630"/>
      <c r="H317" s="1630"/>
      <c r="I317" s="1631"/>
    </row>
    <row r="318" spans="2:9" ht="17.25" customHeight="1">
      <c r="B318" s="282"/>
      <c r="C318" s="1630"/>
      <c r="D318" s="1630"/>
      <c r="E318" s="1630"/>
      <c r="F318" s="1630"/>
      <c r="G318" s="1630"/>
      <c r="H318" s="1630"/>
      <c r="I318" s="1631"/>
    </row>
    <row r="319" spans="2:9" ht="17.25" customHeight="1">
      <c r="B319" s="282"/>
      <c r="C319" s="1630"/>
      <c r="D319" s="1630"/>
      <c r="E319" s="1630"/>
      <c r="F319" s="1630"/>
      <c r="G319" s="1630"/>
      <c r="H319" s="1630"/>
      <c r="I319" s="1631"/>
    </row>
    <row r="320" spans="2:9" ht="5.0999999999999996" customHeight="1">
      <c r="B320" s="282"/>
      <c r="C320" s="1630"/>
      <c r="D320" s="1630"/>
      <c r="E320" s="1630"/>
      <c r="F320" s="1630"/>
      <c r="G320" s="1630"/>
      <c r="H320" s="1630"/>
      <c r="I320" s="1631"/>
    </row>
    <row r="321" spans="2:9" ht="17.25" customHeight="1">
      <c r="B321" s="282"/>
      <c r="C321" s="1625" t="s">
        <v>775</v>
      </c>
      <c r="D321" s="1625"/>
      <c r="E321" s="1625"/>
      <c r="F321" s="1625"/>
      <c r="G321" s="1625"/>
      <c r="H321" s="1625"/>
      <c r="I321" s="1629"/>
    </row>
    <row r="322" spans="2:9" ht="17.25" customHeight="1">
      <c r="B322" s="282"/>
      <c r="C322" s="1625"/>
      <c r="D322" s="1625"/>
      <c r="E322" s="1625"/>
      <c r="F322" s="1625"/>
      <c r="G322" s="1625"/>
      <c r="H322" s="1625"/>
      <c r="I322" s="1629"/>
    </row>
    <row r="323" spans="2:9" ht="9.75" customHeight="1">
      <c r="B323" s="282"/>
      <c r="C323" s="1625"/>
      <c r="D323" s="1625"/>
      <c r="E323" s="1625"/>
      <c r="F323" s="1625"/>
      <c r="G323" s="1625"/>
      <c r="H323" s="1625"/>
      <c r="I323" s="1629"/>
    </row>
    <row r="324" spans="2:9" ht="9.9499999999999993" customHeight="1">
      <c r="B324" s="282"/>
      <c r="C324" s="890"/>
      <c r="D324" s="890"/>
      <c r="E324" s="890"/>
      <c r="F324" s="890"/>
      <c r="G324" s="890"/>
      <c r="H324" s="890"/>
      <c r="I324" s="891"/>
    </row>
    <row r="325" spans="2:9" ht="17.25" customHeight="1">
      <c r="B325" s="284" t="s">
        <v>248</v>
      </c>
      <c r="C325" s="1632" t="s">
        <v>735</v>
      </c>
      <c r="D325" s="1632"/>
      <c r="E325" s="1632"/>
      <c r="F325" s="1632"/>
      <c r="G325" s="1632"/>
      <c r="H325" s="1632"/>
      <c r="I325" s="1633"/>
    </row>
    <row r="326" spans="2:9" ht="9.9499999999999993" customHeight="1">
      <c r="B326" s="282"/>
      <c r="C326" s="878"/>
      <c r="D326" s="878"/>
      <c r="E326" s="878"/>
      <c r="F326" s="878"/>
      <c r="G326" s="878"/>
      <c r="H326" s="878"/>
      <c r="I326" s="295"/>
    </row>
    <row r="327" spans="2:9" ht="17.25" customHeight="1">
      <c r="B327" s="294" t="s">
        <v>249</v>
      </c>
      <c r="C327" s="1598" t="s">
        <v>852</v>
      </c>
      <c r="D327" s="1598"/>
      <c r="E327" s="1598"/>
      <c r="F327" s="1598"/>
      <c r="G327" s="1598"/>
      <c r="H327" s="1598"/>
      <c r="I327" s="1613"/>
    </row>
    <row r="328" spans="2:9" ht="17.25" customHeight="1">
      <c r="B328" s="294"/>
      <c r="C328" s="1598"/>
      <c r="D328" s="1598"/>
      <c r="E328" s="1598"/>
      <c r="F328" s="1598"/>
      <c r="G328" s="1598"/>
      <c r="H328" s="1598"/>
      <c r="I328" s="1613"/>
    </row>
    <row r="329" spans="2:9" ht="27" customHeight="1">
      <c r="B329" s="294"/>
      <c r="C329" s="1598"/>
      <c r="D329" s="1598"/>
      <c r="E329" s="1598"/>
      <c r="F329" s="1598"/>
      <c r="G329" s="1598"/>
      <c r="H329" s="1598"/>
      <c r="I329" s="1613"/>
    </row>
    <row r="330" spans="2:9" ht="17.25" customHeight="1">
      <c r="B330" s="294" t="s">
        <v>250</v>
      </c>
      <c r="C330" s="1596" t="s">
        <v>736</v>
      </c>
      <c r="D330" s="1596"/>
      <c r="E330" s="1596"/>
      <c r="F330" s="1596"/>
      <c r="G330" s="1596"/>
      <c r="H330" s="1596"/>
      <c r="I330" s="1604"/>
    </row>
    <row r="331" spans="2:9" ht="9.9499999999999993" customHeight="1" thickBot="1">
      <c r="B331" s="297"/>
      <c r="C331" s="302"/>
      <c r="D331" s="302"/>
      <c r="E331" s="302"/>
      <c r="F331" s="302"/>
      <c r="G331" s="302"/>
      <c r="H331" s="302"/>
      <c r="I331" s="303"/>
    </row>
    <row r="332" spans="2:9" ht="16.5" customHeight="1" thickBot="1">
      <c r="B332" s="120"/>
      <c r="C332" s="350"/>
      <c r="D332" s="350"/>
      <c r="E332" s="350"/>
      <c r="F332" s="350"/>
      <c r="G332" s="350"/>
      <c r="H332" s="350"/>
      <c r="I332" s="350"/>
    </row>
    <row r="333" spans="2:9" ht="24.95" customHeight="1" thickBot="1">
      <c r="B333" s="720" t="s">
        <v>146</v>
      </c>
      <c r="C333" s="1644" t="s">
        <v>739</v>
      </c>
      <c r="D333" s="1644"/>
      <c r="E333" s="1644"/>
      <c r="F333" s="1644"/>
      <c r="G333" s="1644"/>
      <c r="H333" s="1644"/>
      <c r="I333" s="1644"/>
    </row>
    <row r="334" spans="2:9" ht="16.5" customHeight="1" thickBot="1">
      <c r="B334" s="723" t="s">
        <v>206</v>
      </c>
      <c r="C334" s="1636" t="s">
        <v>198</v>
      </c>
      <c r="D334" s="1636"/>
      <c r="E334" s="1636"/>
      <c r="F334" s="1636"/>
      <c r="G334" s="1636"/>
      <c r="H334" s="1636"/>
      <c r="I334" s="1636"/>
    </row>
    <row r="335" spans="2:9" ht="16.5" customHeight="1" thickBot="1">
      <c r="B335" s="724" t="s">
        <v>147</v>
      </c>
      <c r="C335" s="1637" t="s">
        <v>694</v>
      </c>
      <c r="D335" s="1637"/>
      <c r="E335" s="1637"/>
      <c r="F335" s="1637"/>
      <c r="G335" s="1637"/>
      <c r="H335" s="1637"/>
      <c r="I335" s="1637"/>
    </row>
    <row r="336" spans="2:9" ht="16.5" customHeight="1" thickBot="1">
      <c r="B336" s="725" t="s">
        <v>220</v>
      </c>
      <c r="C336" s="1603" t="s">
        <v>740</v>
      </c>
      <c r="D336" s="1603"/>
      <c r="E336" s="1603"/>
      <c r="F336" s="1603"/>
      <c r="G336" s="1603"/>
      <c r="H336" s="1603"/>
      <c r="I336" s="1603"/>
    </row>
    <row r="337" spans="2:9" ht="5.0999999999999996" customHeight="1">
      <c r="B337" s="721"/>
      <c r="C337" s="260"/>
      <c r="D337" s="260"/>
      <c r="E337" s="260"/>
      <c r="F337" s="260"/>
      <c r="G337" s="260"/>
      <c r="H337" s="291"/>
      <c r="I337" s="722"/>
    </row>
    <row r="338" spans="2:9" ht="16.5" customHeight="1">
      <c r="B338" s="1622" t="s">
        <v>741</v>
      </c>
      <c r="C338" s="1583" t="s">
        <v>754</v>
      </c>
      <c r="D338" s="1583"/>
      <c r="E338" s="1583"/>
      <c r="F338" s="1583"/>
      <c r="G338" s="1584" t="s">
        <v>196</v>
      </c>
      <c r="H338" s="143"/>
      <c r="I338" s="1623"/>
    </row>
    <row r="339" spans="2:9" ht="16.5" customHeight="1">
      <c r="B339" s="1622"/>
      <c r="C339" s="1624" t="s">
        <v>759</v>
      </c>
      <c r="D339" s="1624"/>
      <c r="E339" s="1624"/>
      <c r="F339" s="1624"/>
      <c r="G339" s="1584"/>
      <c r="H339" s="145"/>
      <c r="I339" s="1623"/>
    </row>
    <row r="340" spans="2:9" ht="16.5" customHeight="1">
      <c r="B340" s="909"/>
      <c r="C340" s="160"/>
      <c r="D340" s="160"/>
      <c r="E340" s="160"/>
      <c r="F340" s="160"/>
      <c r="G340" s="887"/>
      <c r="H340" s="145"/>
      <c r="I340" s="716"/>
    </row>
    <row r="341" spans="2:9" ht="16.5" customHeight="1">
      <c r="B341" s="726" t="s">
        <v>742</v>
      </c>
      <c r="C341" s="1625" t="s">
        <v>758</v>
      </c>
      <c r="D341" s="1625"/>
      <c r="E341" s="1625"/>
      <c r="F341" s="1625"/>
      <c r="G341" s="1625"/>
      <c r="H341" s="1625"/>
      <c r="I341" s="1626"/>
    </row>
    <row r="342" spans="2:9" ht="16.5" customHeight="1">
      <c r="B342" s="727"/>
      <c r="C342" s="1625"/>
      <c r="D342" s="1625"/>
      <c r="E342" s="1625"/>
      <c r="F342" s="1625"/>
      <c r="G342" s="1625"/>
      <c r="H342" s="1625"/>
      <c r="I342" s="1626"/>
    </row>
    <row r="343" spans="2:9" ht="16.5" customHeight="1">
      <c r="B343" s="727"/>
      <c r="C343" s="1625"/>
      <c r="D343" s="1625"/>
      <c r="E343" s="1625"/>
      <c r="F343" s="1625"/>
      <c r="G343" s="1625"/>
      <c r="H343" s="1625"/>
      <c r="I343" s="1626"/>
    </row>
    <row r="344" spans="2:9" ht="16.5" customHeight="1">
      <c r="B344" s="727"/>
      <c r="C344" s="1625"/>
      <c r="D344" s="1625"/>
      <c r="E344" s="1625"/>
      <c r="F344" s="1625"/>
      <c r="G344" s="1625"/>
      <c r="H344" s="1625"/>
      <c r="I344" s="1626"/>
    </row>
    <row r="345" spans="2:9" ht="16.5" customHeight="1">
      <c r="B345" s="727"/>
      <c r="C345" s="1625"/>
      <c r="D345" s="1625"/>
      <c r="E345" s="1625"/>
      <c r="F345" s="1625"/>
      <c r="G345" s="1625"/>
      <c r="H345" s="1625"/>
      <c r="I345" s="1626"/>
    </row>
    <row r="346" spans="2:9" ht="16.5" customHeight="1">
      <c r="B346" s="727"/>
      <c r="C346" s="1625"/>
      <c r="D346" s="1625"/>
      <c r="E346" s="1625"/>
      <c r="F346" s="1625"/>
      <c r="G346" s="1625"/>
      <c r="H346" s="1625"/>
      <c r="I346" s="1626"/>
    </row>
    <row r="347" spans="2:9" ht="5.0999999999999996" customHeight="1">
      <c r="B347" s="727"/>
      <c r="C347" s="1625"/>
      <c r="D347" s="1625"/>
      <c r="E347" s="1625"/>
      <c r="F347" s="1625"/>
      <c r="G347" s="1625"/>
      <c r="H347" s="1625"/>
      <c r="I347" s="1626"/>
    </row>
    <row r="348" spans="2:9" ht="16.5" customHeight="1">
      <c r="B348" s="728" t="s">
        <v>743</v>
      </c>
      <c r="C348" s="1634" t="s">
        <v>751</v>
      </c>
      <c r="D348" s="1634"/>
      <c r="E348" s="1634"/>
      <c r="F348" s="1634"/>
      <c r="G348" s="1634"/>
      <c r="H348" s="1634"/>
      <c r="I348" s="1635"/>
    </row>
    <row r="349" spans="2:9" ht="16.5" customHeight="1">
      <c r="B349" s="727"/>
      <c r="C349" s="1634"/>
      <c r="D349" s="1634"/>
      <c r="E349" s="1634"/>
      <c r="F349" s="1634"/>
      <c r="G349" s="1634"/>
      <c r="H349" s="1634"/>
      <c r="I349" s="1635"/>
    </row>
    <row r="350" spans="2:9" ht="16.5" customHeight="1">
      <c r="B350" s="726" t="s">
        <v>744</v>
      </c>
      <c r="C350" s="1598" t="s">
        <v>752</v>
      </c>
      <c r="D350" s="1598"/>
      <c r="E350" s="1598"/>
      <c r="F350" s="1598"/>
      <c r="G350" s="1598"/>
      <c r="H350" s="1598"/>
      <c r="I350" s="1643"/>
    </row>
    <row r="351" spans="2:9" ht="16.5" customHeight="1">
      <c r="B351" s="726"/>
      <c r="C351" s="1598"/>
      <c r="D351" s="1598"/>
      <c r="E351" s="1598"/>
      <c r="F351" s="1598"/>
      <c r="G351" s="1598"/>
      <c r="H351" s="1598"/>
      <c r="I351" s="1643"/>
    </row>
    <row r="352" spans="2:9" ht="24.75" customHeight="1">
      <c r="B352" s="726"/>
      <c r="C352" s="1598"/>
      <c r="D352" s="1598"/>
      <c r="E352" s="1598"/>
      <c r="F352" s="1598"/>
      <c r="G352" s="1598"/>
      <c r="H352" s="1598"/>
      <c r="I352" s="1643"/>
    </row>
    <row r="353" spans="2:9" ht="8.1" customHeight="1">
      <c r="B353" s="726"/>
      <c r="C353" s="865"/>
      <c r="D353" s="865"/>
      <c r="E353" s="865"/>
      <c r="F353" s="865"/>
      <c r="G353" s="865"/>
      <c r="H353" s="865"/>
      <c r="I353" s="869"/>
    </row>
    <row r="354" spans="2:9" ht="16.5" customHeight="1">
      <c r="B354" s="726" t="s">
        <v>745</v>
      </c>
      <c r="C354" s="1596" t="s">
        <v>753</v>
      </c>
      <c r="D354" s="1596"/>
      <c r="E354" s="1596"/>
      <c r="F354" s="1596"/>
      <c r="G354" s="1596"/>
      <c r="H354" s="1596"/>
      <c r="I354" s="1619"/>
    </row>
    <row r="355" spans="2:9" ht="16.5" customHeight="1">
      <c r="B355" s="726"/>
      <c r="C355" s="1078" t="s">
        <v>853</v>
      </c>
      <c r="D355" s="1067"/>
      <c r="E355" s="1067"/>
      <c r="F355" s="1067"/>
      <c r="G355" s="1067"/>
      <c r="H355" s="1067"/>
      <c r="I355" s="1068"/>
    </row>
    <row r="356" spans="2:9" ht="16.5" customHeight="1" thickBot="1">
      <c r="B356" s="715"/>
      <c r="C356" s="1079" t="s">
        <v>854</v>
      </c>
      <c r="D356" s="718"/>
      <c r="E356" s="718"/>
      <c r="F356" s="718"/>
      <c r="G356" s="718"/>
      <c r="H356" s="718"/>
      <c r="I356" s="719"/>
    </row>
    <row r="357" spans="2:9" ht="16.5" customHeight="1" thickBot="1">
      <c r="B357" s="120"/>
      <c r="C357" s="350"/>
      <c r="D357" s="350"/>
      <c r="E357" s="350"/>
      <c r="F357" s="350"/>
      <c r="G357" s="350"/>
      <c r="H357" s="350"/>
      <c r="I357" s="350"/>
    </row>
    <row r="358" spans="2:9" ht="24.95" customHeight="1" thickBot="1">
      <c r="B358" s="720" t="s">
        <v>146</v>
      </c>
      <c r="C358" s="1644" t="s">
        <v>739</v>
      </c>
      <c r="D358" s="1644"/>
      <c r="E358" s="1644"/>
      <c r="F358" s="1644"/>
      <c r="G358" s="1644"/>
      <c r="H358" s="1644"/>
      <c r="I358" s="1644"/>
    </row>
    <row r="359" spans="2:9" ht="16.5" customHeight="1" thickBot="1">
      <c r="B359" s="723" t="s">
        <v>206</v>
      </c>
      <c r="C359" s="1636" t="s">
        <v>198</v>
      </c>
      <c r="D359" s="1636"/>
      <c r="E359" s="1636"/>
      <c r="F359" s="1636"/>
      <c r="G359" s="1636"/>
      <c r="H359" s="1636"/>
      <c r="I359" s="1636"/>
    </row>
    <row r="360" spans="2:9" ht="16.5" customHeight="1" thickBot="1">
      <c r="B360" s="724" t="s">
        <v>147</v>
      </c>
      <c r="C360" s="1637" t="s">
        <v>695</v>
      </c>
      <c r="D360" s="1637"/>
      <c r="E360" s="1637"/>
      <c r="F360" s="1637"/>
      <c r="G360" s="1637"/>
      <c r="H360" s="1637"/>
      <c r="I360" s="1637"/>
    </row>
    <row r="361" spans="2:9" ht="16.5" customHeight="1" thickBot="1">
      <c r="B361" s="725" t="s">
        <v>220</v>
      </c>
      <c r="C361" s="1603" t="s">
        <v>740</v>
      </c>
      <c r="D361" s="1603"/>
      <c r="E361" s="1603"/>
      <c r="F361" s="1603"/>
      <c r="G361" s="1603"/>
      <c r="H361" s="1603"/>
      <c r="I361" s="1603"/>
    </row>
    <row r="362" spans="2:9" ht="5.0999999999999996" customHeight="1">
      <c r="B362" s="721"/>
      <c r="C362" s="260"/>
      <c r="D362" s="260"/>
      <c r="E362" s="260"/>
      <c r="F362" s="260"/>
      <c r="G362" s="260"/>
      <c r="H362" s="291"/>
      <c r="I362" s="722"/>
    </row>
    <row r="363" spans="2:9" ht="16.5" customHeight="1">
      <c r="B363" s="1622" t="s">
        <v>741</v>
      </c>
      <c r="C363" s="1583" t="s">
        <v>755</v>
      </c>
      <c r="D363" s="1583"/>
      <c r="E363" s="1583"/>
      <c r="F363" s="1583"/>
      <c r="G363" s="1584" t="s">
        <v>196</v>
      </c>
      <c r="H363" s="143"/>
      <c r="I363" s="1623"/>
    </row>
    <row r="364" spans="2:9" ht="16.5" customHeight="1">
      <c r="B364" s="1622"/>
      <c r="C364" s="1624" t="s">
        <v>756</v>
      </c>
      <c r="D364" s="1624"/>
      <c r="E364" s="1624"/>
      <c r="F364" s="1624"/>
      <c r="G364" s="1584"/>
      <c r="H364" s="145"/>
      <c r="I364" s="1623"/>
    </row>
    <row r="365" spans="2:9" ht="16.5" customHeight="1">
      <c r="B365" s="909"/>
      <c r="C365" s="160"/>
      <c r="D365" s="160"/>
      <c r="E365" s="160"/>
      <c r="F365" s="160"/>
      <c r="G365" s="887"/>
      <c r="H365" s="145"/>
      <c r="I365" s="716"/>
    </row>
    <row r="366" spans="2:9" ht="16.5" customHeight="1">
      <c r="B366" s="726" t="s">
        <v>742</v>
      </c>
      <c r="C366" s="1625" t="s">
        <v>757</v>
      </c>
      <c r="D366" s="1625"/>
      <c r="E366" s="1625"/>
      <c r="F366" s="1625"/>
      <c r="G366" s="1625"/>
      <c r="H366" s="1625"/>
      <c r="I366" s="1626"/>
    </row>
    <row r="367" spans="2:9" ht="16.5" customHeight="1">
      <c r="B367" s="727"/>
      <c r="C367" s="1625"/>
      <c r="D367" s="1625"/>
      <c r="E367" s="1625"/>
      <c r="F367" s="1625"/>
      <c r="G367" s="1625"/>
      <c r="H367" s="1625"/>
      <c r="I367" s="1626"/>
    </row>
    <row r="368" spans="2:9" ht="16.5" customHeight="1">
      <c r="B368" s="727"/>
      <c r="C368" s="1625"/>
      <c r="D368" s="1625"/>
      <c r="E368" s="1625"/>
      <c r="F368" s="1625"/>
      <c r="G368" s="1625"/>
      <c r="H368" s="1625"/>
      <c r="I368" s="1626"/>
    </row>
    <row r="369" spans="2:9" ht="16.5" customHeight="1">
      <c r="B369" s="727"/>
      <c r="C369" s="1625"/>
      <c r="D369" s="1625"/>
      <c r="E369" s="1625"/>
      <c r="F369" s="1625"/>
      <c r="G369" s="1625"/>
      <c r="H369" s="1625"/>
      <c r="I369" s="1626"/>
    </row>
    <row r="370" spans="2:9" ht="16.5" customHeight="1">
      <c r="B370" s="727"/>
      <c r="C370" s="1625"/>
      <c r="D370" s="1625"/>
      <c r="E370" s="1625"/>
      <c r="F370" s="1625"/>
      <c r="G370" s="1625"/>
      <c r="H370" s="1625"/>
      <c r="I370" s="1626"/>
    </row>
    <row r="371" spans="2:9" ht="16.5" customHeight="1">
      <c r="B371" s="727"/>
      <c r="C371" s="1625"/>
      <c r="D371" s="1625"/>
      <c r="E371" s="1625"/>
      <c r="F371" s="1625"/>
      <c r="G371" s="1625"/>
      <c r="H371" s="1625"/>
      <c r="I371" s="1626"/>
    </row>
    <row r="372" spans="2:9" ht="16.5" customHeight="1">
      <c r="B372" s="727"/>
      <c r="C372" s="1625"/>
      <c r="D372" s="1625"/>
      <c r="E372" s="1625"/>
      <c r="F372" s="1625"/>
      <c r="G372" s="1625"/>
      <c r="H372" s="1625"/>
      <c r="I372" s="1626"/>
    </row>
    <row r="373" spans="2:9" ht="5.0999999999999996" customHeight="1">
      <c r="B373" s="727"/>
      <c r="C373" s="867"/>
      <c r="D373" s="867"/>
      <c r="E373" s="867"/>
      <c r="F373" s="867"/>
      <c r="G373" s="867"/>
      <c r="H373" s="867"/>
      <c r="I373" s="868"/>
    </row>
    <row r="374" spans="2:9" ht="16.5" customHeight="1">
      <c r="B374" s="728" t="s">
        <v>743</v>
      </c>
      <c r="C374" s="1634" t="s">
        <v>750</v>
      </c>
      <c r="D374" s="1634"/>
      <c r="E374" s="1634"/>
      <c r="F374" s="1634"/>
      <c r="G374" s="1634"/>
      <c r="H374" s="1634"/>
      <c r="I374" s="1635"/>
    </row>
    <row r="375" spans="2:9" ht="16.5" customHeight="1">
      <c r="B375" s="728"/>
      <c r="C375" s="1634"/>
      <c r="D375" s="1634"/>
      <c r="E375" s="1634"/>
      <c r="F375" s="1634"/>
      <c r="G375" s="1634"/>
      <c r="H375" s="1634"/>
      <c r="I375" s="1635"/>
    </row>
    <row r="376" spans="2:9" ht="5.0999999999999996" customHeight="1">
      <c r="B376" s="727"/>
      <c r="C376" s="878"/>
      <c r="D376" s="878"/>
      <c r="E376" s="878"/>
      <c r="F376" s="878"/>
      <c r="G376" s="878"/>
      <c r="H376" s="878"/>
      <c r="I376" s="717"/>
    </row>
    <row r="377" spans="2:9" ht="16.5" customHeight="1">
      <c r="B377" s="726" t="s">
        <v>744</v>
      </c>
      <c r="C377" s="1598" t="s">
        <v>748</v>
      </c>
      <c r="D377" s="1598"/>
      <c r="E377" s="1598"/>
      <c r="F377" s="1598"/>
      <c r="G377" s="1598"/>
      <c r="H377" s="1598"/>
      <c r="I377" s="1643"/>
    </row>
    <row r="378" spans="2:9" ht="16.5" customHeight="1">
      <c r="B378" s="726"/>
      <c r="C378" s="1598"/>
      <c r="D378" s="1598"/>
      <c r="E378" s="1598"/>
      <c r="F378" s="1598"/>
      <c r="G378" s="1598"/>
      <c r="H378" s="1598"/>
      <c r="I378" s="1643"/>
    </row>
    <row r="379" spans="2:9" ht="16.5" customHeight="1">
      <c r="B379" s="726"/>
      <c r="C379" s="1598"/>
      <c r="D379" s="1598"/>
      <c r="E379" s="1598"/>
      <c r="F379" s="1598"/>
      <c r="G379" s="1598"/>
      <c r="H379" s="1598"/>
      <c r="I379" s="1643"/>
    </row>
    <row r="380" spans="2:9" ht="16.5" customHeight="1">
      <c r="B380" s="726"/>
      <c r="C380" s="1598"/>
      <c r="D380" s="1598"/>
      <c r="E380" s="1598"/>
      <c r="F380" s="1598"/>
      <c r="G380" s="1598"/>
      <c r="H380" s="1598"/>
      <c r="I380" s="1643"/>
    </row>
    <row r="381" spans="2:9" ht="16.5" customHeight="1">
      <c r="B381" s="726" t="s">
        <v>745</v>
      </c>
      <c r="C381" s="1596" t="s">
        <v>749</v>
      </c>
      <c r="D381" s="1596"/>
      <c r="E381" s="1596"/>
      <c r="F381" s="1596"/>
      <c r="G381" s="1596"/>
      <c r="H381" s="1596"/>
      <c r="I381" s="1619"/>
    </row>
    <row r="382" spans="2:9" ht="16.5" customHeight="1" thickBot="1">
      <c r="B382" s="715"/>
      <c r="C382" s="1620"/>
      <c r="D382" s="1620"/>
      <c r="E382" s="1620"/>
      <c r="F382" s="1620"/>
      <c r="G382" s="1620"/>
      <c r="H382" s="1620"/>
      <c r="I382" s="1621"/>
    </row>
    <row r="383" spans="2:9" ht="16.5" customHeight="1" thickBot="1">
      <c r="B383" s="120"/>
      <c r="C383" s="350"/>
      <c r="D383" s="350"/>
      <c r="E383" s="350"/>
      <c r="F383" s="350"/>
      <c r="G383" s="350"/>
      <c r="H383" s="350"/>
      <c r="I383" s="350"/>
    </row>
    <row r="384" spans="2:9" ht="24.95" customHeight="1" thickBot="1">
      <c r="B384" s="714" t="s">
        <v>146</v>
      </c>
      <c r="C384" s="1639" t="s">
        <v>385</v>
      </c>
      <c r="D384" s="1639"/>
      <c r="E384" s="1639"/>
      <c r="F384" s="1639"/>
      <c r="G384" s="1639"/>
      <c r="H384" s="1639"/>
      <c r="I384" s="1640"/>
    </row>
    <row r="385" spans="2:9" ht="17.25" thickBot="1">
      <c r="B385" s="305" t="s">
        <v>206</v>
      </c>
      <c r="C385" s="1627" t="s">
        <v>198</v>
      </c>
      <c r="D385" s="1627"/>
      <c r="E385" s="1627"/>
      <c r="F385" s="1627"/>
      <c r="G385" s="1627"/>
      <c r="H385" s="1627"/>
      <c r="I385" s="1627"/>
    </row>
    <row r="386" spans="2:9" ht="18" thickBot="1">
      <c r="B386" s="306" t="s">
        <v>147</v>
      </c>
      <c r="C386" s="1666" t="s">
        <v>7</v>
      </c>
      <c r="D386" s="1666"/>
      <c r="E386" s="1666"/>
      <c r="F386" s="1666"/>
      <c r="G386" s="1666"/>
      <c r="H386" s="1666"/>
      <c r="I386" s="1666"/>
    </row>
    <row r="387" spans="2:9" ht="17.25" thickBot="1">
      <c r="B387" s="307" t="s">
        <v>220</v>
      </c>
      <c r="C387" s="1641" t="s">
        <v>223</v>
      </c>
      <c r="D387" s="1641"/>
      <c r="E387" s="1641"/>
      <c r="F387" s="1641"/>
      <c r="G387" s="1641"/>
      <c r="H387" s="1641"/>
      <c r="I387" s="1642"/>
    </row>
    <row r="388" spans="2:9" s="311" customFormat="1" ht="9.9499999999999993" customHeight="1">
      <c r="B388" s="308"/>
      <c r="C388" s="309"/>
      <c r="D388" s="309"/>
      <c r="E388" s="309"/>
      <c r="F388" s="309"/>
      <c r="G388" s="309"/>
      <c r="H388" s="309"/>
      <c r="I388" s="310"/>
    </row>
    <row r="389" spans="2:9" ht="16.5" customHeight="1">
      <c r="B389" s="312" t="s">
        <v>734</v>
      </c>
      <c r="C389" s="1596" t="s">
        <v>396</v>
      </c>
      <c r="D389" s="1596"/>
      <c r="E389" s="1596"/>
      <c r="F389" s="1596"/>
      <c r="G389" s="1596"/>
      <c r="H389" s="1596"/>
      <c r="I389" s="1649"/>
    </row>
    <row r="390" spans="2:9" ht="16.5" customHeight="1">
      <c r="B390" s="911"/>
      <c r="C390" s="1596"/>
      <c r="D390" s="1596"/>
      <c r="E390" s="1596"/>
      <c r="F390" s="1596"/>
      <c r="G390" s="1596"/>
      <c r="H390" s="1596"/>
      <c r="I390" s="1649"/>
    </row>
    <row r="391" spans="2:9" ht="16.5" customHeight="1">
      <c r="B391" s="911"/>
      <c r="C391" s="1596"/>
      <c r="D391" s="1596"/>
      <c r="E391" s="1596"/>
      <c r="F391" s="1596"/>
      <c r="G391" s="1596"/>
      <c r="H391" s="1596"/>
      <c r="I391" s="1649"/>
    </row>
    <row r="392" spans="2:9" ht="16.5" customHeight="1">
      <c r="B392" s="911"/>
      <c r="C392" s="1596"/>
      <c r="D392" s="1596"/>
      <c r="E392" s="1596"/>
      <c r="F392" s="1596"/>
      <c r="G392" s="1596"/>
      <c r="H392" s="1596"/>
      <c r="I392" s="1649"/>
    </row>
    <row r="393" spans="2:9" ht="16.5" customHeight="1">
      <c r="B393" s="911"/>
      <c r="C393" s="1596"/>
      <c r="D393" s="1596"/>
      <c r="E393" s="1596"/>
      <c r="F393" s="1596"/>
      <c r="G393" s="1596"/>
      <c r="H393" s="1596"/>
      <c r="I393" s="1649"/>
    </row>
    <row r="394" spans="2:9" ht="12" customHeight="1">
      <c r="B394" s="911"/>
      <c r="C394" s="1596"/>
      <c r="D394" s="1596"/>
      <c r="E394" s="1596"/>
      <c r="F394" s="1596"/>
      <c r="G394" s="1596"/>
      <c r="H394" s="1596"/>
      <c r="I394" s="1649"/>
    </row>
    <row r="395" spans="2:9" ht="16.5" customHeight="1">
      <c r="B395" s="312" t="s">
        <v>733</v>
      </c>
      <c r="C395" s="1598" t="s">
        <v>624</v>
      </c>
      <c r="D395" s="1598"/>
      <c r="E395" s="1598"/>
      <c r="F395" s="1598"/>
      <c r="G395" s="1598"/>
      <c r="H395" s="1598"/>
      <c r="I395" s="1645"/>
    </row>
    <row r="396" spans="2:9" ht="16.5" customHeight="1">
      <c r="B396" s="313"/>
      <c r="C396" s="1598"/>
      <c r="D396" s="1598"/>
      <c r="E396" s="1598"/>
      <c r="F396" s="1598"/>
      <c r="G396" s="1598"/>
      <c r="H396" s="1598"/>
      <c r="I396" s="1645"/>
    </row>
    <row r="397" spans="2:9" ht="16.5" customHeight="1">
      <c r="B397" s="313"/>
      <c r="C397" s="1598"/>
      <c r="D397" s="1598"/>
      <c r="E397" s="1598"/>
      <c r="F397" s="1598"/>
      <c r="G397" s="1598"/>
      <c r="H397" s="1598"/>
      <c r="I397" s="1645"/>
    </row>
    <row r="398" spans="2:9" ht="16.5" customHeight="1">
      <c r="B398" s="313"/>
      <c r="C398" s="1598"/>
      <c r="D398" s="1598"/>
      <c r="E398" s="1598"/>
      <c r="F398" s="1598"/>
      <c r="G398" s="1598"/>
      <c r="H398" s="1598"/>
      <c r="I398" s="1645"/>
    </row>
    <row r="399" spans="2:9" ht="16.5" customHeight="1">
      <c r="B399" s="313"/>
      <c r="C399" s="1598"/>
      <c r="D399" s="1598"/>
      <c r="E399" s="1598"/>
      <c r="F399" s="1598"/>
      <c r="G399" s="1598"/>
      <c r="H399" s="1598"/>
      <c r="I399" s="1645"/>
    </row>
    <row r="400" spans="2:9" ht="16.5" customHeight="1">
      <c r="B400" s="313"/>
      <c r="C400" s="1598"/>
      <c r="D400" s="1598"/>
      <c r="E400" s="1598"/>
      <c r="F400" s="1598"/>
      <c r="G400" s="1598"/>
      <c r="H400" s="1598"/>
      <c r="I400" s="1645"/>
    </row>
    <row r="401" spans="2:9" ht="16.5" customHeight="1">
      <c r="B401" s="313"/>
      <c r="C401" s="865"/>
      <c r="D401" s="865"/>
      <c r="E401" s="865"/>
      <c r="F401" s="865"/>
      <c r="G401" s="865"/>
      <c r="H401" s="865"/>
      <c r="I401" s="866"/>
    </row>
    <row r="402" spans="2:9" ht="16.5" customHeight="1">
      <c r="B402" s="314" t="s">
        <v>688</v>
      </c>
      <c r="C402" s="1617" t="s">
        <v>730</v>
      </c>
      <c r="D402" s="1617"/>
      <c r="E402" s="1617"/>
      <c r="F402" s="1617"/>
      <c r="G402" s="1617"/>
      <c r="H402" s="1617"/>
      <c r="I402" s="1618"/>
    </row>
    <row r="403" spans="2:9">
      <c r="B403" s="315"/>
      <c r="C403" s="1617"/>
      <c r="D403" s="1617"/>
      <c r="E403" s="1617"/>
      <c r="F403" s="1617"/>
      <c r="G403" s="1617"/>
      <c r="H403" s="1617"/>
      <c r="I403" s="1618"/>
    </row>
    <row r="404" spans="2:9">
      <c r="B404" s="313"/>
      <c r="C404" s="1617"/>
      <c r="D404" s="1617"/>
      <c r="E404" s="1617"/>
      <c r="F404" s="1617"/>
      <c r="G404" s="1617"/>
      <c r="H404" s="1617"/>
      <c r="I404" s="1618"/>
    </row>
    <row r="405" spans="2:9" ht="16.5" customHeight="1">
      <c r="B405" s="313"/>
      <c r="C405" s="1617"/>
      <c r="D405" s="1617"/>
      <c r="E405" s="1617"/>
      <c r="F405" s="1617"/>
      <c r="G405" s="1617"/>
      <c r="H405" s="1617"/>
      <c r="I405" s="1618"/>
    </row>
    <row r="406" spans="2:9" ht="16.5" customHeight="1">
      <c r="B406" s="312" t="s">
        <v>731</v>
      </c>
      <c r="C406" s="1598" t="s">
        <v>650</v>
      </c>
      <c r="D406" s="1598"/>
      <c r="E406" s="1598"/>
      <c r="F406" s="1598"/>
      <c r="G406" s="1598"/>
      <c r="H406" s="1598"/>
      <c r="I406" s="1645"/>
    </row>
    <row r="407" spans="2:9">
      <c r="B407" s="312"/>
      <c r="C407" s="1598"/>
      <c r="D407" s="1598"/>
      <c r="E407" s="1598"/>
      <c r="F407" s="1598"/>
      <c r="G407" s="1598"/>
      <c r="H407" s="1598"/>
      <c r="I407" s="1645"/>
    </row>
    <row r="408" spans="2:9" ht="16.5" customHeight="1">
      <c r="B408" s="312"/>
      <c r="C408" s="1598"/>
      <c r="D408" s="1598"/>
      <c r="E408" s="1598"/>
      <c r="F408" s="1598"/>
      <c r="G408" s="1598"/>
      <c r="H408" s="1598"/>
      <c r="I408" s="1645"/>
    </row>
    <row r="409" spans="2:9" ht="21.95" customHeight="1">
      <c r="B409" s="312"/>
      <c r="C409" s="1598"/>
      <c r="D409" s="1598"/>
      <c r="E409" s="1598"/>
      <c r="F409" s="1598"/>
      <c r="G409" s="1598"/>
      <c r="H409" s="1598"/>
      <c r="I409" s="1645"/>
    </row>
    <row r="410" spans="2:9" ht="16.5" customHeight="1">
      <c r="B410" s="312"/>
      <c r="C410" s="865"/>
      <c r="D410" s="865"/>
      <c r="E410" s="865"/>
      <c r="F410" s="865"/>
      <c r="G410" s="865"/>
      <c r="H410" s="865"/>
      <c r="I410" s="866"/>
    </row>
    <row r="411" spans="2:9">
      <c r="B411" s="312" t="s">
        <v>732</v>
      </c>
      <c r="C411" s="1596" t="s">
        <v>352</v>
      </c>
      <c r="D411" s="1596"/>
      <c r="E411" s="1596"/>
      <c r="F411" s="1596"/>
      <c r="G411" s="1596"/>
      <c r="H411" s="1596"/>
      <c r="I411" s="1649"/>
    </row>
    <row r="412" spans="2:9" ht="17.25" thickBot="1">
      <c r="B412" s="316"/>
      <c r="C412" s="317"/>
      <c r="D412" s="317"/>
      <c r="E412" s="317"/>
      <c r="F412" s="317"/>
      <c r="G412" s="317"/>
      <c r="H412" s="317"/>
      <c r="I412" s="318"/>
    </row>
    <row r="413" spans="2:9" ht="17.25" thickBot="1"/>
    <row r="414" spans="2:9" ht="24.95" customHeight="1" thickBot="1">
      <c r="B414" s="319" t="s">
        <v>146</v>
      </c>
      <c r="C414" s="1749" t="s">
        <v>385</v>
      </c>
      <c r="D414" s="1749"/>
      <c r="E414" s="1749"/>
      <c r="F414" s="1749"/>
      <c r="G414" s="1749"/>
      <c r="H414" s="1749"/>
      <c r="I414" s="1749"/>
    </row>
    <row r="415" spans="2:9" ht="17.25" thickBot="1">
      <c r="B415" s="320" t="s">
        <v>206</v>
      </c>
      <c r="C415" s="1627" t="s">
        <v>198</v>
      </c>
      <c r="D415" s="1627"/>
      <c r="E415" s="1627"/>
      <c r="F415" s="1627"/>
      <c r="G415" s="1627"/>
      <c r="H415" s="1627"/>
      <c r="I415" s="1627"/>
    </row>
    <row r="416" spans="2:9" ht="18" thickBot="1">
      <c r="B416" s="321" t="s">
        <v>147</v>
      </c>
      <c r="C416" s="1666" t="s">
        <v>224</v>
      </c>
      <c r="D416" s="1666"/>
      <c r="E416" s="1666"/>
      <c r="F416" s="1666"/>
      <c r="G416" s="1666"/>
      <c r="H416" s="1666"/>
      <c r="I416" s="1666"/>
    </row>
    <row r="417" spans="2:9" ht="17.25" thickBot="1">
      <c r="B417" s="307" t="s">
        <v>220</v>
      </c>
      <c r="C417" s="1641" t="s">
        <v>223</v>
      </c>
      <c r="D417" s="1641"/>
      <c r="E417" s="1641"/>
      <c r="F417" s="1641"/>
      <c r="G417" s="1641"/>
      <c r="H417" s="1641"/>
      <c r="I417" s="1642"/>
    </row>
    <row r="418" spans="2:9" ht="9.9499999999999993" customHeight="1">
      <c r="B418" s="308"/>
      <c r="C418" s="309"/>
      <c r="D418" s="309"/>
      <c r="E418" s="309"/>
      <c r="F418" s="309"/>
      <c r="G418" s="309"/>
      <c r="H418" s="309"/>
      <c r="I418" s="310"/>
    </row>
    <row r="419" spans="2:9">
      <c r="B419" s="1582" t="s">
        <v>747</v>
      </c>
      <c r="C419" s="1583" t="s">
        <v>225</v>
      </c>
      <c r="D419" s="1583"/>
      <c r="E419" s="1583"/>
      <c r="F419" s="1584" t="s">
        <v>196</v>
      </c>
      <c r="G419" s="1585"/>
      <c r="H419" s="1585"/>
      <c r="I419" s="1586"/>
    </row>
    <row r="420" spans="2:9">
      <c r="B420" s="1582"/>
      <c r="C420" s="1587" t="s">
        <v>226</v>
      </c>
      <c r="D420" s="1587"/>
      <c r="E420" s="1587"/>
      <c r="F420" s="1584"/>
      <c r="G420" s="1588"/>
      <c r="H420" s="1588"/>
      <c r="I420" s="1586"/>
    </row>
    <row r="421" spans="2:9" ht="9.9499999999999993" customHeight="1">
      <c r="B421" s="911"/>
      <c r="C421" s="160"/>
      <c r="D421" s="160"/>
      <c r="E421" s="160"/>
      <c r="F421" s="160"/>
      <c r="G421" s="887"/>
      <c r="H421" s="145"/>
      <c r="I421" s="322"/>
    </row>
    <row r="422" spans="2:9" ht="16.5" customHeight="1">
      <c r="B422" s="312" t="s">
        <v>733</v>
      </c>
      <c r="C422" s="1598" t="s">
        <v>551</v>
      </c>
      <c r="D422" s="1598"/>
      <c r="E422" s="1598"/>
      <c r="F422" s="1598"/>
      <c r="G422" s="1598"/>
      <c r="H422" s="1598"/>
      <c r="I422" s="1645"/>
    </row>
    <row r="423" spans="2:9">
      <c r="B423" s="313"/>
      <c r="C423" s="1598"/>
      <c r="D423" s="1598"/>
      <c r="E423" s="1598"/>
      <c r="F423" s="1598"/>
      <c r="G423" s="1598"/>
      <c r="H423" s="1598"/>
      <c r="I423" s="1645"/>
    </row>
    <row r="424" spans="2:9">
      <c r="B424" s="313"/>
      <c r="C424" s="1598"/>
      <c r="D424" s="1598"/>
      <c r="E424" s="1598"/>
      <c r="F424" s="1598"/>
      <c r="G424" s="1598"/>
      <c r="H424" s="1598"/>
      <c r="I424" s="1645"/>
    </row>
    <row r="425" spans="2:9">
      <c r="B425" s="313"/>
      <c r="C425" s="1598"/>
      <c r="D425" s="1598"/>
      <c r="E425" s="1598"/>
      <c r="F425" s="1598"/>
      <c r="G425" s="1598"/>
      <c r="H425" s="1598"/>
      <c r="I425" s="1645"/>
    </row>
    <row r="426" spans="2:9">
      <c r="B426" s="313"/>
      <c r="C426" s="1598"/>
      <c r="D426" s="1598"/>
      <c r="E426" s="1598"/>
      <c r="F426" s="1598"/>
      <c r="G426" s="1598"/>
      <c r="H426" s="1598"/>
      <c r="I426" s="1645"/>
    </row>
    <row r="427" spans="2:9" ht="16.5" customHeight="1">
      <c r="B427" s="313"/>
      <c r="C427" s="1598"/>
      <c r="D427" s="1598"/>
      <c r="E427" s="1598"/>
      <c r="F427" s="1598"/>
      <c r="G427" s="1598"/>
      <c r="H427" s="1598"/>
      <c r="I427" s="1645"/>
    </row>
    <row r="428" spans="2:9" ht="16.5" customHeight="1">
      <c r="B428" s="313"/>
      <c r="C428" s="1598"/>
      <c r="D428" s="1598"/>
      <c r="E428" s="1598"/>
      <c r="F428" s="1598"/>
      <c r="G428" s="1598"/>
      <c r="H428" s="1598"/>
      <c r="I428" s="1645"/>
    </row>
    <row r="429" spans="2:9" ht="16.5" customHeight="1">
      <c r="B429" s="313"/>
      <c r="C429" s="1598"/>
      <c r="D429" s="1598"/>
      <c r="E429" s="1598"/>
      <c r="F429" s="1598"/>
      <c r="G429" s="1598"/>
      <c r="H429" s="1598"/>
      <c r="I429" s="1645"/>
    </row>
    <row r="430" spans="2:9" ht="16.5" customHeight="1">
      <c r="B430" s="313"/>
      <c r="C430" s="1598"/>
      <c r="D430" s="1598"/>
      <c r="E430" s="1598"/>
      <c r="F430" s="1598"/>
      <c r="G430" s="1598"/>
      <c r="H430" s="1598"/>
      <c r="I430" s="1645"/>
    </row>
    <row r="431" spans="2:9" ht="16.5" customHeight="1">
      <c r="B431" s="313"/>
      <c r="C431" s="1598"/>
      <c r="D431" s="1598"/>
      <c r="E431" s="1598"/>
      <c r="F431" s="1598"/>
      <c r="G431" s="1598"/>
      <c r="H431" s="1598"/>
      <c r="I431" s="1645"/>
    </row>
    <row r="432" spans="2:9" ht="16.5" customHeight="1">
      <c r="B432" s="313"/>
      <c r="C432" s="1598"/>
      <c r="D432" s="1598"/>
      <c r="E432" s="1598"/>
      <c r="F432" s="1598"/>
      <c r="G432" s="1598"/>
      <c r="H432" s="1598"/>
      <c r="I432" s="1645"/>
    </row>
    <row r="433" spans="2:9" ht="16.5" customHeight="1">
      <c r="B433" s="313"/>
      <c r="C433" s="1598"/>
      <c r="D433" s="1598"/>
      <c r="E433" s="1598"/>
      <c r="F433" s="1598"/>
      <c r="G433" s="1598"/>
      <c r="H433" s="1598"/>
      <c r="I433" s="1645"/>
    </row>
    <row r="434" spans="2:9" ht="16.5" customHeight="1">
      <c r="B434" s="313"/>
      <c r="C434" s="1598"/>
      <c r="D434" s="1598"/>
      <c r="E434" s="1598"/>
      <c r="F434" s="1598"/>
      <c r="G434" s="1598"/>
      <c r="H434" s="1598"/>
      <c r="I434" s="1645"/>
    </row>
    <row r="435" spans="2:9">
      <c r="B435" s="313"/>
      <c r="C435" s="1598"/>
      <c r="D435" s="1598"/>
      <c r="E435" s="1598"/>
      <c r="F435" s="1598"/>
      <c r="G435" s="1598"/>
      <c r="H435" s="1598"/>
      <c r="I435" s="1645"/>
    </row>
    <row r="436" spans="2:9">
      <c r="B436" s="313"/>
      <c r="C436" s="1598"/>
      <c r="D436" s="1598"/>
      <c r="E436" s="1598"/>
      <c r="F436" s="1598"/>
      <c r="G436" s="1598"/>
      <c r="H436" s="1598"/>
      <c r="I436" s="1645"/>
    </row>
    <row r="437" spans="2:9">
      <c r="B437" s="323"/>
      <c r="C437" s="1598"/>
      <c r="D437" s="1598"/>
      <c r="E437" s="1598"/>
      <c r="F437" s="1598"/>
      <c r="G437" s="1598"/>
      <c r="H437" s="1598"/>
      <c r="I437" s="1645"/>
    </row>
    <row r="438" spans="2:9">
      <c r="B438" s="323"/>
      <c r="C438" s="1598"/>
      <c r="D438" s="1598"/>
      <c r="E438" s="1598"/>
      <c r="F438" s="1598"/>
      <c r="G438" s="1598"/>
      <c r="H438" s="1598"/>
      <c r="I438" s="1645"/>
    </row>
    <row r="439" spans="2:9">
      <c r="B439" s="323"/>
      <c r="C439" s="1598"/>
      <c r="D439" s="1598"/>
      <c r="E439" s="1598"/>
      <c r="F439" s="1598"/>
      <c r="G439" s="1598"/>
      <c r="H439" s="1598"/>
      <c r="I439" s="1645"/>
    </row>
    <row r="440" spans="2:9">
      <c r="B440" s="323"/>
      <c r="C440" s="1598"/>
      <c r="D440" s="1598"/>
      <c r="E440" s="1598"/>
      <c r="F440" s="1598"/>
      <c r="G440" s="1598"/>
      <c r="H440" s="1598"/>
      <c r="I440" s="1645"/>
    </row>
    <row r="441" spans="2:9">
      <c r="B441" s="323"/>
      <c r="C441" s="1598"/>
      <c r="D441" s="1598"/>
      <c r="E441" s="1598"/>
      <c r="F441" s="1598"/>
      <c r="G441" s="1598"/>
      <c r="H441" s="1598"/>
      <c r="I441" s="1645"/>
    </row>
    <row r="442" spans="2:9">
      <c r="B442" s="323"/>
      <c r="C442" s="1598"/>
      <c r="D442" s="1598"/>
      <c r="E442" s="1598"/>
      <c r="F442" s="1598"/>
      <c r="G442" s="1598"/>
      <c r="H442" s="1598"/>
      <c r="I442" s="1645"/>
    </row>
    <row r="443" spans="2:9">
      <c r="B443" s="323"/>
      <c r="C443" s="1598"/>
      <c r="D443" s="1598"/>
      <c r="E443" s="1598"/>
      <c r="F443" s="1598"/>
      <c r="G443" s="1598"/>
      <c r="H443" s="1598"/>
      <c r="I443" s="1645"/>
    </row>
    <row r="444" spans="2:9" ht="9.9499999999999993" customHeight="1">
      <c r="B444" s="323"/>
      <c r="C444" s="865"/>
      <c r="D444" s="865"/>
      <c r="E444" s="865"/>
      <c r="F444" s="865"/>
      <c r="G444" s="865"/>
      <c r="H444" s="865"/>
      <c r="I444" s="866"/>
    </row>
    <row r="445" spans="2:9">
      <c r="B445" s="314" t="s">
        <v>688</v>
      </c>
      <c r="C445" s="1617" t="s">
        <v>227</v>
      </c>
      <c r="D445" s="1617"/>
      <c r="E445" s="1617"/>
      <c r="F445" s="1617"/>
      <c r="G445" s="1617"/>
      <c r="H445" s="1617"/>
      <c r="I445" s="1618"/>
    </row>
    <row r="446" spans="2:9" ht="9.9499999999999993" customHeight="1">
      <c r="B446" s="313"/>
      <c r="C446" s="878"/>
      <c r="D446" s="878"/>
      <c r="E446" s="878"/>
      <c r="F446" s="878"/>
      <c r="G446" s="878"/>
      <c r="H446" s="878"/>
      <c r="I446" s="324"/>
    </row>
    <row r="447" spans="2:9" ht="16.5" customHeight="1">
      <c r="B447" s="312" t="s">
        <v>731</v>
      </c>
      <c r="C447" s="1598" t="s">
        <v>554</v>
      </c>
      <c r="D447" s="1598"/>
      <c r="E447" s="1598"/>
      <c r="F447" s="1598"/>
      <c r="G447" s="1598"/>
      <c r="H447" s="1598"/>
      <c r="I447" s="1645"/>
    </row>
    <row r="448" spans="2:9">
      <c r="B448" s="729"/>
      <c r="C448" s="1598"/>
      <c r="D448" s="1598"/>
      <c r="E448" s="1598"/>
      <c r="F448" s="1598"/>
      <c r="G448" s="1598"/>
      <c r="H448" s="1598"/>
      <c r="I448" s="1645"/>
    </row>
    <row r="449" spans="2:14" ht="9.9499999999999993" customHeight="1">
      <c r="B449" s="729"/>
      <c r="C449" s="1598"/>
      <c r="D449" s="1598"/>
      <c r="E449" s="1598"/>
      <c r="F449" s="1598"/>
      <c r="G449" s="1598"/>
      <c r="H449" s="1598"/>
      <c r="I449" s="1645"/>
    </row>
    <row r="450" spans="2:14" ht="9.9499999999999993" customHeight="1">
      <c r="B450" s="729"/>
      <c r="C450" s="865"/>
      <c r="D450" s="865"/>
      <c r="E450" s="865"/>
      <c r="F450" s="865"/>
      <c r="G450" s="865"/>
      <c r="H450" s="865"/>
      <c r="I450" s="866"/>
    </row>
    <row r="451" spans="2:14">
      <c r="B451" s="312" t="s">
        <v>732</v>
      </c>
      <c r="C451" s="1596" t="s">
        <v>228</v>
      </c>
      <c r="D451" s="1596"/>
      <c r="E451" s="1596"/>
      <c r="F451" s="1596"/>
      <c r="G451" s="1596"/>
      <c r="H451" s="1596"/>
      <c r="I451" s="1649"/>
    </row>
    <row r="452" spans="2:14" ht="11.25" customHeight="1">
      <c r="B452" s="730"/>
      <c r="C452" s="1596"/>
      <c r="D452" s="1596"/>
      <c r="E452" s="1596"/>
      <c r="F452" s="1596"/>
      <c r="G452" s="1596"/>
      <c r="H452" s="1596"/>
      <c r="I452" s="1649"/>
    </row>
    <row r="453" spans="2:14" ht="9.9499999999999993" customHeight="1" thickBot="1">
      <c r="B453" s="316"/>
      <c r="C453" s="325"/>
      <c r="D453" s="325"/>
      <c r="E453" s="325"/>
      <c r="F453" s="325"/>
      <c r="G453" s="325"/>
      <c r="H453" s="325"/>
      <c r="I453" s="326"/>
    </row>
    <row r="454" spans="2:14" ht="17.25" thickBot="1"/>
    <row r="455" spans="2:14" ht="24.95" customHeight="1" thickBot="1">
      <c r="B455" s="327" t="s">
        <v>146</v>
      </c>
      <c r="C455" s="1748" t="s">
        <v>384</v>
      </c>
      <c r="D455" s="1748"/>
      <c r="E455" s="1748"/>
      <c r="F455" s="1748"/>
      <c r="G455" s="1748"/>
      <c r="H455" s="1748"/>
      <c r="I455" s="1748"/>
    </row>
    <row r="456" spans="2:14" ht="17.25" thickBot="1">
      <c r="B456" s="328" t="s">
        <v>206</v>
      </c>
      <c r="C456" s="1685" t="s">
        <v>198</v>
      </c>
      <c r="D456" s="1685"/>
      <c r="E456" s="1685"/>
      <c r="F456" s="1685"/>
      <c r="G456" s="1685"/>
      <c r="H456" s="1685"/>
      <c r="I456" s="1685"/>
    </row>
    <row r="457" spans="2:14" ht="18" thickBot="1">
      <c r="B457" s="329" t="s">
        <v>147</v>
      </c>
      <c r="C457" s="1591" t="s">
        <v>251</v>
      </c>
      <c r="D457" s="1591"/>
      <c r="E457" s="1591"/>
      <c r="F457" s="1591"/>
      <c r="G457" s="1591"/>
      <c r="H457" s="1591"/>
      <c r="I457" s="1591"/>
    </row>
    <row r="458" spans="2:14" ht="17.25" thickBot="1">
      <c r="B458" s="330" t="s">
        <v>220</v>
      </c>
      <c r="C458" s="1592" t="s">
        <v>264</v>
      </c>
      <c r="D458" s="1592"/>
      <c r="E458" s="1592"/>
      <c r="F458" s="1592"/>
      <c r="G458" s="1592"/>
      <c r="H458" s="1592"/>
      <c r="I458" s="1593"/>
    </row>
    <row r="459" spans="2:14" ht="9.9499999999999993" customHeight="1">
      <c r="B459" s="331"/>
      <c r="C459" s="332"/>
      <c r="D459" s="332"/>
      <c r="E459" s="332"/>
      <c r="F459" s="332"/>
      <c r="G459" s="332"/>
      <c r="H459" s="332"/>
      <c r="I459" s="333"/>
    </row>
    <row r="460" spans="2:14" ht="16.5" customHeight="1">
      <c r="B460" s="1589" t="s">
        <v>261</v>
      </c>
      <c r="C460" s="1652" t="s">
        <v>267</v>
      </c>
      <c r="D460" s="1652"/>
      <c r="E460" s="1652"/>
      <c r="F460" s="1652"/>
      <c r="G460" s="1652"/>
      <c r="H460" s="1652"/>
      <c r="I460" s="1590" t="s">
        <v>353</v>
      </c>
    </row>
    <row r="461" spans="2:14" ht="24.95" customHeight="1">
      <c r="B461" s="1589"/>
      <c r="C461" s="1638" t="s">
        <v>229</v>
      </c>
      <c r="D461" s="1638"/>
      <c r="E461" s="1638"/>
      <c r="F461" s="1638"/>
      <c r="G461" s="1638"/>
      <c r="H461" s="1638"/>
      <c r="I461" s="1590"/>
    </row>
    <row r="462" spans="2:14" ht="9.9499999999999993" customHeight="1">
      <c r="B462" s="334"/>
      <c r="C462" s="160"/>
      <c r="D462" s="160"/>
      <c r="E462" s="160"/>
      <c r="F462" s="160"/>
      <c r="G462" s="887"/>
      <c r="H462" s="145"/>
      <c r="I462" s="335"/>
      <c r="J462" s="175"/>
      <c r="K462" s="175"/>
      <c r="L462" s="175"/>
      <c r="M462" s="175"/>
      <c r="N462" s="336"/>
    </row>
    <row r="463" spans="2:14" ht="16.5" customHeight="1">
      <c r="B463" s="337" t="s">
        <v>260</v>
      </c>
      <c r="C463" s="1596" t="s">
        <v>648</v>
      </c>
      <c r="D463" s="1596"/>
      <c r="E463" s="1596"/>
      <c r="F463" s="1596"/>
      <c r="G463" s="1596"/>
      <c r="H463" s="1596"/>
      <c r="I463" s="1648"/>
      <c r="J463" s="175"/>
      <c r="K463" s="175"/>
      <c r="L463" s="175"/>
      <c r="M463" s="175"/>
      <c r="N463" s="336"/>
    </row>
    <row r="464" spans="2:14" ht="16.5" customHeight="1">
      <c r="B464" s="338"/>
      <c r="C464" s="1596"/>
      <c r="D464" s="1596"/>
      <c r="E464" s="1596"/>
      <c r="F464" s="1596"/>
      <c r="G464" s="1596"/>
      <c r="H464" s="1596"/>
      <c r="I464" s="1648"/>
      <c r="J464" s="175"/>
      <c r="K464" s="175"/>
      <c r="L464" s="175"/>
      <c r="M464" s="175"/>
      <c r="N464" s="336"/>
    </row>
    <row r="465" spans="2:14" ht="16.5" customHeight="1">
      <c r="B465" s="338"/>
      <c r="C465" s="1596"/>
      <c r="D465" s="1596"/>
      <c r="E465" s="1596"/>
      <c r="F465" s="1596"/>
      <c r="G465" s="1596"/>
      <c r="H465" s="1596"/>
      <c r="I465" s="1648"/>
      <c r="J465" s="175"/>
      <c r="K465" s="175"/>
      <c r="L465" s="175"/>
      <c r="M465" s="175"/>
      <c r="N465" s="336"/>
    </row>
    <row r="466" spans="2:14" ht="16.5" customHeight="1">
      <c r="B466" s="338"/>
      <c r="C466" s="1596"/>
      <c r="D466" s="1596"/>
      <c r="E466" s="1596"/>
      <c r="F466" s="1596"/>
      <c r="G466" s="1596"/>
      <c r="H466" s="1596"/>
      <c r="I466" s="1648"/>
      <c r="J466" s="175"/>
      <c r="K466" s="175"/>
      <c r="L466" s="175"/>
      <c r="M466" s="175"/>
    </row>
    <row r="467" spans="2:14" ht="16.5" customHeight="1">
      <c r="B467" s="338"/>
      <c r="C467" s="1596"/>
      <c r="D467" s="1596"/>
      <c r="E467" s="1596"/>
      <c r="F467" s="1596"/>
      <c r="G467" s="1596"/>
      <c r="H467" s="1596"/>
      <c r="I467" s="1648"/>
      <c r="J467" s="175"/>
      <c r="K467" s="175"/>
      <c r="L467" s="175"/>
      <c r="M467" s="175"/>
    </row>
    <row r="468" spans="2:14" ht="16.5" customHeight="1">
      <c r="B468" s="338"/>
      <c r="C468" s="1596"/>
      <c r="D468" s="1596"/>
      <c r="E468" s="1596"/>
      <c r="F468" s="1596"/>
      <c r="G468" s="1596"/>
      <c r="H468" s="1596"/>
      <c r="I468" s="1648"/>
      <c r="J468" s="175"/>
      <c r="K468" s="175"/>
      <c r="L468" s="175"/>
      <c r="M468" s="175"/>
    </row>
    <row r="469" spans="2:14" ht="16.5" customHeight="1">
      <c r="B469" s="338"/>
      <c r="C469" s="1596"/>
      <c r="D469" s="1596"/>
      <c r="E469" s="1596"/>
      <c r="F469" s="1596"/>
      <c r="G469" s="1596"/>
      <c r="H469" s="1596"/>
      <c r="I469" s="1648"/>
      <c r="J469" s="339"/>
      <c r="K469" s="339"/>
      <c r="L469" s="339"/>
      <c r="M469" s="339"/>
    </row>
    <row r="470" spans="2:14" ht="16.5" customHeight="1">
      <c r="B470" s="338"/>
      <c r="C470" s="1596"/>
      <c r="D470" s="1596"/>
      <c r="E470" s="1596"/>
      <c r="F470" s="1596"/>
      <c r="G470" s="1596"/>
      <c r="H470" s="1596"/>
      <c r="I470" s="1648"/>
      <c r="J470" s="339"/>
      <c r="K470" s="339"/>
      <c r="L470" s="339"/>
      <c r="M470" s="339"/>
    </row>
    <row r="471" spans="2:14" ht="16.5" customHeight="1">
      <c r="B471" s="338"/>
      <c r="C471" s="1596"/>
      <c r="D471" s="1596"/>
      <c r="E471" s="1596"/>
      <c r="F471" s="1596"/>
      <c r="G471" s="1596"/>
      <c r="H471" s="1596"/>
      <c r="I471" s="1648"/>
      <c r="J471" s="339"/>
      <c r="K471" s="339"/>
      <c r="L471" s="339"/>
      <c r="M471" s="339"/>
    </row>
    <row r="472" spans="2:14" ht="16.5" customHeight="1">
      <c r="B472" s="338"/>
      <c r="C472" s="1596"/>
      <c r="D472" s="1596"/>
      <c r="E472" s="1596"/>
      <c r="F472" s="1596"/>
      <c r="G472" s="1596"/>
      <c r="H472" s="1596"/>
      <c r="I472" s="1648"/>
      <c r="J472" s="339"/>
      <c r="K472" s="339"/>
      <c r="L472" s="339"/>
      <c r="M472" s="339"/>
    </row>
    <row r="473" spans="2:14" ht="16.5" customHeight="1">
      <c r="B473" s="338"/>
      <c r="C473" s="1596"/>
      <c r="D473" s="1596"/>
      <c r="E473" s="1596"/>
      <c r="F473" s="1596"/>
      <c r="G473" s="1596"/>
      <c r="H473" s="1596"/>
      <c r="I473" s="1648"/>
      <c r="J473" s="339"/>
      <c r="K473" s="339"/>
      <c r="L473" s="339"/>
      <c r="M473" s="339"/>
    </row>
    <row r="474" spans="2:14" ht="16.5" customHeight="1">
      <c r="B474" s="338"/>
      <c r="C474" s="1596"/>
      <c r="D474" s="1596"/>
      <c r="E474" s="1596"/>
      <c r="F474" s="1596"/>
      <c r="G474" s="1596"/>
      <c r="H474" s="1596"/>
      <c r="I474" s="1648"/>
      <c r="J474" s="339"/>
      <c r="K474" s="339"/>
      <c r="L474" s="339"/>
      <c r="M474" s="339"/>
    </row>
    <row r="475" spans="2:14" ht="16.5" customHeight="1">
      <c r="B475" s="338"/>
      <c r="C475" s="1596"/>
      <c r="D475" s="1596"/>
      <c r="E475" s="1596"/>
      <c r="F475" s="1596"/>
      <c r="G475" s="1596"/>
      <c r="H475" s="1596"/>
      <c r="I475" s="1648"/>
      <c r="J475" s="339"/>
      <c r="K475" s="339"/>
      <c r="L475" s="339"/>
      <c r="M475" s="339"/>
    </row>
    <row r="476" spans="2:14" ht="16.5" customHeight="1">
      <c r="B476" s="338"/>
      <c r="C476" s="1596"/>
      <c r="D476" s="1596"/>
      <c r="E476" s="1596"/>
      <c r="F476" s="1596"/>
      <c r="G476" s="1596"/>
      <c r="H476" s="1596"/>
      <c r="I476" s="1648"/>
      <c r="J476" s="339"/>
      <c r="K476" s="339"/>
      <c r="L476" s="339"/>
      <c r="M476" s="339"/>
    </row>
    <row r="477" spans="2:14" ht="8.1" customHeight="1">
      <c r="B477" s="338"/>
      <c r="C477" s="1596"/>
      <c r="D477" s="1596"/>
      <c r="E477" s="1596"/>
      <c r="F477" s="1596"/>
      <c r="G477" s="1596"/>
      <c r="H477" s="1596"/>
      <c r="I477" s="1648"/>
      <c r="J477" s="339"/>
      <c r="K477" s="339"/>
      <c r="L477" s="339"/>
      <c r="M477" s="339"/>
    </row>
    <row r="478" spans="2:14" ht="9.9499999999999993" customHeight="1">
      <c r="B478" s="338"/>
      <c r="C478" s="863"/>
      <c r="D478" s="863"/>
      <c r="E478" s="863"/>
      <c r="F478" s="863"/>
      <c r="G478" s="863"/>
      <c r="H478" s="863"/>
      <c r="I478" s="871"/>
      <c r="J478" s="339"/>
      <c r="K478" s="339"/>
      <c r="L478" s="339"/>
      <c r="M478" s="339"/>
    </row>
    <row r="479" spans="2:14" ht="32.25" customHeight="1">
      <c r="B479" s="340" t="s">
        <v>259</v>
      </c>
      <c r="C479" s="1650" t="s">
        <v>268</v>
      </c>
      <c r="D479" s="1650"/>
      <c r="E479" s="1650"/>
      <c r="F479" s="1650"/>
      <c r="G479" s="1650"/>
      <c r="H479" s="1650"/>
      <c r="I479" s="1651"/>
      <c r="J479" s="339"/>
      <c r="K479" s="339"/>
      <c r="L479" s="339"/>
      <c r="M479" s="339"/>
    </row>
    <row r="480" spans="2:14" ht="9.9499999999999993" customHeight="1">
      <c r="B480" s="341"/>
      <c r="C480" s="175"/>
      <c r="D480" s="175"/>
      <c r="E480" s="175"/>
      <c r="F480" s="175"/>
      <c r="G480" s="175"/>
      <c r="H480" s="175"/>
      <c r="I480" s="342"/>
      <c r="J480" s="339"/>
      <c r="K480" s="339"/>
      <c r="L480" s="339"/>
      <c r="M480" s="339"/>
    </row>
    <row r="481" spans="2:9" ht="16.5" customHeight="1">
      <c r="B481" s="337" t="s">
        <v>262</v>
      </c>
      <c r="C481" s="1598" t="s">
        <v>552</v>
      </c>
      <c r="D481" s="1598"/>
      <c r="E481" s="1598"/>
      <c r="F481" s="1598"/>
      <c r="G481" s="1598"/>
      <c r="H481" s="1598"/>
      <c r="I481" s="1684"/>
    </row>
    <row r="482" spans="2:9">
      <c r="B482" s="341"/>
      <c r="C482" s="1598"/>
      <c r="D482" s="1598"/>
      <c r="E482" s="1598"/>
      <c r="F482" s="1598"/>
      <c r="G482" s="1598"/>
      <c r="H482" s="1598"/>
      <c r="I482" s="1684"/>
    </row>
    <row r="483" spans="2:9">
      <c r="B483" s="341"/>
      <c r="C483" s="1598"/>
      <c r="D483" s="1598"/>
      <c r="E483" s="1598"/>
      <c r="F483" s="1598"/>
      <c r="G483" s="1598"/>
      <c r="H483" s="1598"/>
      <c r="I483" s="1684"/>
    </row>
    <row r="484" spans="2:9">
      <c r="B484" s="341"/>
      <c r="C484" s="1598"/>
      <c r="D484" s="1598"/>
      <c r="E484" s="1598"/>
      <c r="F484" s="1598"/>
      <c r="G484" s="1598"/>
      <c r="H484" s="1598"/>
      <c r="I484" s="1684"/>
    </row>
    <row r="485" spans="2:9" ht="16.5" customHeight="1">
      <c r="B485" s="337" t="s">
        <v>263</v>
      </c>
      <c r="C485" s="1598" t="s">
        <v>649</v>
      </c>
      <c r="D485" s="1598"/>
      <c r="E485" s="1598"/>
      <c r="F485" s="1598"/>
      <c r="G485" s="1598"/>
      <c r="H485" s="1598"/>
      <c r="I485" s="1684"/>
    </row>
    <row r="486" spans="2:9">
      <c r="B486" s="343"/>
      <c r="C486" s="1598"/>
      <c r="D486" s="1598"/>
      <c r="E486" s="1598"/>
      <c r="F486" s="1598"/>
      <c r="G486" s="1598"/>
      <c r="H486" s="1598"/>
      <c r="I486" s="1684"/>
    </row>
    <row r="487" spans="2:9">
      <c r="B487" s="343"/>
      <c r="C487" s="1598"/>
      <c r="D487" s="1598"/>
      <c r="E487" s="1598"/>
      <c r="F487" s="1598"/>
      <c r="G487" s="1598"/>
      <c r="H487" s="1598"/>
      <c r="I487" s="1684"/>
    </row>
    <row r="488" spans="2:9">
      <c r="B488" s="343"/>
      <c r="C488" s="1598"/>
      <c r="D488" s="1598"/>
      <c r="E488" s="1598"/>
      <c r="F488" s="1598"/>
      <c r="G488" s="1598"/>
      <c r="H488" s="1598"/>
      <c r="I488" s="1684"/>
    </row>
    <row r="489" spans="2:9" ht="17.25" thickBot="1">
      <c r="B489" s="344"/>
      <c r="C489" s="1746"/>
      <c r="D489" s="1746"/>
      <c r="E489" s="1746"/>
      <c r="F489" s="1746"/>
      <c r="G489" s="1746"/>
      <c r="H489" s="1746"/>
      <c r="I489" s="1747"/>
    </row>
    <row r="490" spans="2:9" ht="17.25" thickBot="1">
      <c r="B490" s="120"/>
      <c r="C490" s="175"/>
      <c r="D490" s="175"/>
      <c r="E490" s="175"/>
      <c r="F490" s="175"/>
      <c r="G490" s="175"/>
      <c r="H490" s="175"/>
      <c r="I490" s="175"/>
    </row>
    <row r="491" spans="2:9" ht="24.95" customHeight="1" thickBot="1">
      <c r="B491" s="327" t="s">
        <v>146</v>
      </c>
      <c r="C491" s="1748" t="s">
        <v>384</v>
      </c>
      <c r="D491" s="1748"/>
      <c r="E491" s="1748"/>
      <c r="F491" s="1748"/>
      <c r="G491" s="1748"/>
      <c r="H491" s="1748"/>
      <c r="I491" s="1748"/>
    </row>
    <row r="492" spans="2:9" ht="17.25" thickBot="1">
      <c r="B492" s="328" t="s">
        <v>206</v>
      </c>
      <c r="C492" s="1685" t="s">
        <v>198</v>
      </c>
      <c r="D492" s="1685"/>
      <c r="E492" s="1685"/>
      <c r="F492" s="1685"/>
      <c r="G492" s="1685"/>
      <c r="H492" s="1685"/>
      <c r="I492" s="1685"/>
    </row>
    <row r="493" spans="2:9" ht="18" thickBot="1">
      <c r="B493" s="329" t="s">
        <v>147</v>
      </c>
      <c r="C493" s="1591" t="s">
        <v>252</v>
      </c>
      <c r="D493" s="1591"/>
      <c r="E493" s="1591"/>
      <c r="F493" s="1591"/>
      <c r="G493" s="1591"/>
      <c r="H493" s="1591"/>
      <c r="I493" s="1591"/>
    </row>
    <row r="494" spans="2:9" ht="17.25" thickBot="1">
      <c r="B494" s="330" t="s">
        <v>220</v>
      </c>
      <c r="C494" s="1592" t="s">
        <v>265</v>
      </c>
      <c r="D494" s="1592"/>
      <c r="E494" s="1592"/>
      <c r="F494" s="1592"/>
      <c r="G494" s="1592"/>
      <c r="H494" s="1592"/>
      <c r="I494" s="1593"/>
    </row>
    <row r="495" spans="2:9" ht="9.9499999999999993" customHeight="1">
      <c r="B495" s="331"/>
      <c r="C495" s="345"/>
      <c r="D495" s="345"/>
      <c r="E495" s="345"/>
      <c r="F495" s="345"/>
      <c r="G495" s="345"/>
      <c r="H495" s="345"/>
      <c r="I495" s="346"/>
    </row>
    <row r="496" spans="2:9">
      <c r="B496" s="1589" t="s">
        <v>261</v>
      </c>
      <c r="C496" s="1583" t="s">
        <v>103</v>
      </c>
      <c r="D496" s="1583"/>
      <c r="E496" s="1583"/>
      <c r="F496" s="1584" t="s">
        <v>353</v>
      </c>
      <c r="G496" s="1585"/>
      <c r="H496" s="1585"/>
      <c r="I496" s="1742"/>
    </row>
    <row r="497" spans="2:13">
      <c r="B497" s="1589"/>
      <c r="C497" s="1587" t="s">
        <v>354</v>
      </c>
      <c r="D497" s="1587"/>
      <c r="E497" s="1587"/>
      <c r="F497" s="1584"/>
      <c r="G497" s="1588"/>
      <c r="H497" s="1588"/>
      <c r="I497" s="1742"/>
    </row>
    <row r="498" spans="2:13">
      <c r="B498" s="334"/>
      <c r="C498" s="160"/>
      <c r="D498" s="160"/>
      <c r="E498" s="160"/>
      <c r="F498" s="160"/>
      <c r="G498" s="887"/>
      <c r="H498" s="145"/>
      <c r="I498" s="335"/>
    </row>
    <row r="499" spans="2:13">
      <c r="B499" s="872" t="s">
        <v>260</v>
      </c>
      <c r="C499" s="1598" t="s">
        <v>355</v>
      </c>
      <c r="D499" s="1598"/>
      <c r="E499" s="1598"/>
      <c r="F499" s="1598"/>
      <c r="G499" s="1598"/>
      <c r="H499" s="1598"/>
      <c r="I499" s="1684"/>
    </row>
    <row r="500" spans="2:13">
      <c r="B500" s="338"/>
      <c r="C500" s="1598"/>
      <c r="D500" s="1598"/>
      <c r="E500" s="1598"/>
      <c r="F500" s="1598"/>
      <c r="G500" s="1598"/>
      <c r="H500" s="1598"/>
      <c r="I500" s="1684"/>
      <c r="J500" s="1743"/>
      <c r="K500" s="1743"/>
      <c r="L500" s="1743"/>
      <c r="M500" s="1743"/>
    </row>
    <row r="501" spans="2:13" ht="12" customHeight="1">
      <c r="B501" s="338"/>
      <c r="C501" s="1598"/>
      <c r="D501" s="1598"/>
      <c r="E501" s="1598"/>
      <c r="F501" s="1598"/>
      <c r="G501" s="1598"/>
      <c r="H501" s="1598"/>
      <c r="I501" s="1684"/>
      <c r="J501" s="1743"/>
      <c r="K501" s="1743"/>
      <c r="L501" s="1743"/>
      <c r="M501" s="1743"/>
    </row>
    <row r="502" spans="2:13">
      <c r="B502" s="338"/>
      <c r="C502" s="1598"/>
      <c r="D502" s="1598"/>
      <c r="E502" s="1598"/>
      <c r="F502" s="1598"/>
      <c r="G502" s="1598"/>
      <c r="H502" s="1598"/>
      <c r="I502" s="1684"/>
      <c r="J502" s="1743"/>
      <c r="K502" s="1743"/>
      <c r="L502" s="1743"/>
      <c r="M502" s="1743"/>
    </row>
    <row r="503" spans="2:13" ht="20.100000000000001" customHeight="1">
      <c r="B503" s="347"/>
      <c r="C503" s="1598"/>
      <c r="D503" s="1598"/>
      <c r="E503" s="1598"/>
      <c r="F503" s="1598"/>
      <c r="G503" s="1598"/>
      <c r="H503" s="1598"/>
      <c r="I503" s="1684"/>
      <c r="J503" s="1743"/>
      <c r="K503" s="1743"/>
      <c r="L503" s="1743"/>
      <c r="M503" s="1743"/>
    </row>
    <row r="504" spans="2:13" ht="27.75" customHeight="1">
      <c r="B504" s="340" t="s">
        <v>259</v>
      </c>
      <c r="C504" s="1650" t="s">
        <v>553</v>
      </c>
      <c r="D504" s="1650"/>
      <c r="E504" s="1650"/>
      <c r="F504" s="1650"/>
      <c r="G504" s="1650"/>
      <c r="H504" s="1650"/>
      <c r="I504" s="1651"/>
    </row>
    <row r="505" spans="2:13" ht="12" customHeight="1">
      <c r="B505" s="338"/>
      <c r="C505" s="348"/>
      <c r="D505" s="348"/>
      <c r="E505" s="348"/>
      <c r="F505" s="348"/>
      <c r="G505" s="348"/>
      <c r="H505" s="348"/>
      <c r="I505" s="349"/>
    </row>
    <row r="506" spans="2:13" ht="16.5" customHeight="1">
      <c r="B506" s="337" t="s">
        <v>262</v>
      </c>
      <c r="C506" s="1598" t="s">
        <v>266</v>
      </c>
      <c r="D506" s="1598"/>
      <c r="E506" s="1598"/>
      <c r="F506" s="1598"/>
      <c r="G506" s="1598"/>
      <c r="H506" s="1598"/>
      <c r="I506" s="1684"/>
    </row>
    <row r="507" spans="2:13" ht="12" customHeight="1">
      <c r="B507" s="341"/>
      <c r="C507" s="350"/>
      <c r="D507" s="350"/>
      <c r="E507" s="350"/>
      <c r="F507" s="350"/>
      <c r="G507" s="350"/>
      <c r="H507" s="350"/>
      <c r="I507" s="351"/>
    </row>
    <row r="508" spans="2:13" ht="16.5" customHeight="1">
      <c r="B508" s="337" t="s">
        <v>263</v>
      </c>
      <c r="C508" s="1596" t="s">
        <v>269</v>
      </c>
      <c r="D508" s="1596"/>
      <c r="E508" s="1596"/>
      <c r="F508" s="1596"/>
      <c r="G508" s="1596"/>
      <c r="H508" s="1596"/>
      <c r="I508" s="1648"/>
    </row>
    <row r="509" spans="2:13">
      <c r="B509" s="343"/>
      <c r="C509" s="1596"/>
      <c r="D509" s="1596"/>
      <c r="E509" s="1596"/>
      <c r="F509" s="1596"/>
      <c r="G509" s="1596"/>
      <c r="H509" s="1596"/>
      <c r="I509" s="1648"/>
    </row>
    <row r="510" spans="2:13">
      <c r="B510" s="343"/>
      <c r="C510" s="1596"/>
      <c r="D510" s="1596"/>
      <c r="E510" s="1596"/>
      <c r="F510" s="1596"/>
      <c r="G510" s="1596"/>
      <c r="H510" s="1596"/>
      <c r="I510" s="1648"/>
    </row>
    <row r="511" spans="2:13" ht="9.9499999999999993" customHeight="1" thickBot="1">
      <c r="B511" s="344"/>
      <c r="C511" s="1744"/>
      <c r="D511" s="1744"/>
      <c r="E511" s="1744"/>
      <c r="F511" s="1744"/>
      <c r="G511" s="1744"/>
      <c r="H511" s="1744"/>
      <c r="I511" s="1745"/>
    </row>
    <row r="512" spans="2:13" ht="17.25" thickBot="1">
      <c r="B512" s="120"/>
      <c r="C512" s="863"/>
      <c r="D512" s="863"/>
      <c r="E512" s="863"/>
      <c r="F512" s="863"/>
      <c r="G512" s="863"/>
      <c r="H512" s="863"/>
      <c r="I512" s="863"/>
    </row>
    <row r="513" spans="2:9" ht="24.95" customHeight="1" thickBot="1">
      <c r="B513" s="352" t="s">
        <v>146</v>
      </c>
      <c r="C513" s="1577" t="s">
        <v>328</v>
      </c>
      <c r="D513" s="1577"/>
      <c r="E513" s="1577"/>
      <c r="F513" s="1577"/>
      <c r="G513" s="1577"/>
      <c r="H513" s="1577"/>
      <c r="I513" s="1577"/>
    </row>
    <row r="514" spans="2:9" ht="17.25" thickBot="1">
      <c r="B514" s="353" t="s">
        <v>206</v>
      </c>
      <c r="C514" s="1578" t="s">
        <v>435</v>
      </c>
      <c r="D514" s="1578"/>
      <c r="E514" s="1578"/>
      <c r="F514" s="1578"/>
      <c r="G514" s="1578"/>
      <c r="H514" s="1578"/>
      <c r="I514" s="1578"/>
    </row>
    <row r="515" spans="2:9" ht="18" thickBot="1">
      <c r="B515" s="354" t="s">
        <v>147</v>
      </c>
      <c r="C515" s="1579" t="s">
        <v>329</v>
      </c>
      <c r="D515" s="1579"/>
      <c r="E515" s="1579"/>
      <c r="F515" s="1579"/>
      <c r="G515" s="1579"/>
      <c r="H515" s="1579"/>
      <c r="I515" s="1579"/>
    </row>
    <row r="516" spans="2:9" ht="17.25" thickBot="1">
      <c r="B516" s="355" t="s">
        <v>220</v>
      </c>
      <c r="C516" s="1594" t="s">
        <v>582</v>
      </c>
      <c r="D516" s="1594"/>
      <c r="E516" s="1594"/>
      <c r="F516" s="1594"/>
      <c r="G516" s="1594"/>
      <c r="H516" s="1594"/>
      <c r="I516" s="1595"/>
    </row>
    <row r="517" spans="2:9" ht="9.9499999999999993" customHeight="1">
      <c r="B517" s="356"/>
      <c r="C517" s="357"/>
      <c r="D517" s="357"/>
      <c r="E517" s="357"/>
      <c r="F517" s="357"/>
      <c r="G517" s="357"/>
      <c r="H517" s="357"/>
      <c r="I517" s="358"/>
    </row>
    <row r="518" spans="2:9" ht="16.5" customHeight="1">
      <c r="B518" s="359" t="s">
        <v>413</v>
      </c>
      <c r="C518" s="1596" t="s">
        <v>647</v>
      </c>
      <c r="D518" s="1596"/>
      <c r="E518" s="1596"/>
      <c r="F518" s="1596"/>
      <c r="G518" s="1596"/>
      <c r="H518" s="1596"/>
      <c r="I518" s="1597"/>
    </row>
    <row r="519" spans="2:9">
      <c r="B519" s="360"/>
      <c r="C519" s="1596"/>
      <c r="D519" s="1596"/>
      <c r="E519" s="1596"/>
      <c r="F519" s="1596"/>
      <c r="G519" s="1596"/>
      <c r="H519" s="1596"/>
      <c r="I519" s="1597"/>
    </row>
    <row r="520" spans="2:9">
      <c r="B520" s="361"/>
      <c r="C520" s="1596"/>
      <c r="D520" s="1596"/>
      <c r="E520" s="1596"/>
      <c r="F520" s="1596"/>
      <c r="G520" s="1596"/>
      <c r="H520" s="1596"/>
      <c r="I520" s="1597"/>
    </row>
    <row r="521" spans="2:9">
      <c r="B521" s="361"/>
      <c r="C521" s="1596"/>
      <c r="D521" s="1596"/>
      <c r="E521" s="1596"/>
      <c r="F521" s="1596"/>
      <c r="G521" s="1596"/>
      <c r="H521" s="1596"/>
      <c r="I521" s="1597"/>
    </row>
    <row r="522" spans="2:9">
      <c r="B522" s="361"/>
      <c r="C522" s="1596"/>
      <c r="D522" s="1596"/>
      <c r="E522" s="1596"/>
      <c r="F522" s="1596"/>
      <c r="G522" s="1596"/>
      <c r="H522" s="1596"/>
      <c r="I522" s="1597"/>
    </row>
    <row r="523" spans="2:9">
      <c r="B523" s="361"/>
      <c r="C523" s="1596"/>
      <c r="D523" s="1596"/>
      <c r="E523" s="1596"/>
      <c r="F523" s="1596"/>
      <c r="G523" s="1596"/>
      <c r="H523" s="1596"/>
      <c r="I523" s="1597"/>
    </row>
    <row r="524" spans="2:9">
      <c r="B524" s="361"/>
      <c r="C524" s="1596"/>
      <c r="D524" s="1596"/>
      <c r="E524" s="1596"/>
      <c r="F524" s="1596"/>
      <c r="G524" s="1596"/>
      <c r="H524" s="1596"/>
      <c r="I524" s="1597"/>
    </row>
    <row r="525" spans="2:9">
      <c r="B525" s="361"/>
      <c r="C525" s="1596"/>
      <c r="D525" s="1596"/>
      <c r="E525" s="1596"/>
      <c r="F525" s="1596"/>
      <c r="G525" s="1596"/>
      <c r="H525" s="1596"/>
      <c r="I525" s="1597"/>
    </row>
    <row r="526" spans="2:9" ht="9.9499999999999993" customHeight="1">
      <c r="B526" s="361"/>
      <c r="C526" s="884"/>
      <c r="D526" s="884"/>
      <c r="E526" s="884"/>
      <c r="F526" s="884"/>
      <c r="G526" s="884"/>
      <c r="H526" s="884"/>
      <c r="I526" s="888"/>
    </row>
    <row r="527" spans="2:9" ht="16.5" customHeight="1">
      <c r="B527" s="361" t="s">
        <v>414</v>
      </c>
      <c r="C527" s="1598" t="s">
        <v>427</v>
      </c>
      <c r="D527" s="1598"/>
      <c r="E527" s="1598"/>
      <c r="F527" s="1598"/>
      <c r="G527" s="1598"/>
      <c r="H527" s="1598"/>
      <c r="I527" s="1599"/>
    </row>
    <row r="528" spans="2:9">
      <c r="B528" s="360"/>
      <c r="C528" s="1598"/>
      <c r="D528" s="1598"/>
      <c r="E528" s="1598"/>
      <c r="F528" s="1598"/>
      <c r="G528" s="1598"/>
      <c r="H528" s="1598"/>
      <c r="I528" s="1599"/>
    </row>
    <row r="529" spans="2:9">
      <c r="B529" s="360"/>
      <c r="C529" s="1598"/>
      <c r="D529" s="1598"/>
      <c r="E529" s="1598"/>
      <c r="F529" s="1598"/>
      <c r="G529" s="1598"/>
      <c r="H529" s="1598"/>
      <c r="I529" s="1599"/>
    </row>
    <row r="530" spans="2:9">
      <c r="B530" s="360"/>
      <c r="C530" s="1598"/>
      <c r="D530" s="1598"/>
      <c r="E530" s="1598"/>
      <c r="F530" s="1598"/>
      <c r="G530" s="1598"/>
      <c r="H530" s="1598"/>
      <c r="I530" s="1599"/>
    </row>
    <row r="531" spans="2:9">
      <c r="B531" s="362"/>
      <c r="C531" s="1598"/>
      <c r="D531" s="1598"/>
      <c r="E531" s="1598"/>
      <c r="F531" s="1598"/>
      <c r="G531" s="1598"/>
      <c r="H531" s="1598"/>
      <c r="I531" s="1599"/>
    </row>
    <row r="532" spans="2:9">
      <c r="B532" s="362"/>
      <c r="C532" s="1598"/>
      <c r="D532" s="1598"/>
      <c r="E532" s="1598"/>
      <c r="F532" s="1598"/>
      <c r="G532" s="1598"/>
      <c r="H532" s="1598"/>
      <c r="I532" s="1599"/>
    </row>
    <row r="533" spans="2:9">
      <c r="B533" s="362"/>
      <c r="C533" s="1598"/>
      <c r="D533" s="1598"/>
      <c r="E533" s="1598"/>
      <c r="F533" s="1598"/>
      <c r="G533" s="1598"/>
      <c r="H533" s="1598"/>
      <c r="I533" s="1599"/>
    </row>
    <row r="534" spans="2:9">
      <c r="B534" s="362"/>
      <c r="C534" s="1598"/>
      <c r="D534" s="1598"/>
      <c r="E534" s="1598"/>
      <c r="F534" s="1598"/>
      <c r="G534" s="1598"/>
      <c r="H534" s="1598"/>
      <c r="I534" s="1599"/>
    </row>
    <row r="535" spans="2:9">
      <c r="B535" s="362"/>
      <c r="C535" s="1598"/>
      <c r="D535" s="1598"/>
      <c r="E535" s="1598"/>
      <c r="F535" s="1598"/>
      <c r="G535" s="1598"/>
      <c r="H535" s="1598"/>
      <c r="I535" s="1599"/>
    </row>
    <row r="536" spans="2:9">
      <c r="B536" s="362"/>
      <c r="C536" s="1598"/>
      <c r="D536" s="1598"/>
      <c r="E536" s="1598"/>
      <c r="F536" s="1598"/>
      <c r="G536" s="1598"/>
      <c r="H536" s="1598"/>
      <c r="I536" s="1599"/>
    </row>
    <row r="537" spans="2:9" ht="16.5" customHeight="1">
      <c r="B537" s="362"/>
      <c r="C537" s="1598"/>
      <c r="D537" s="1598"/>
      <c r="E537" s="1598"/>
      <c r="F537" s="1598"/>
      <c r="G537" s="1598"/>
      <c r="H537" s="1598"/>
      <c r="I537" s="1599"/>
    </row>
    <row r="538" spans="2:9" ht="16.5" customHeight="1">
      <c r="B538" s="362" t="s">
        <v>415</v>
      </c>
      <c r="C538" s="1600" t="s">
        <v>689</v>
      </c>
      <c r="D538" s="1600"/>
      <c r="E538" s="1600"/>
      <c r="F538" s="1600"/>
      <c r="G538" s="1600"/>
      <c r="H538" s="1600"/>
      <c r="I538" s="1601"/>
    </row>
    <row r="539" spans="2:9">
      <c r="B539" s="360"/>
      <c r="C539" s="1600"/>
      <c r="D539" s="1600"/>
      <c r="E539" s="1600"/>
      <c r="F539" s="1600"/>
      <c r="G539" s="1600"/>
      <c r="H539" s="1600"/>
      <c r="I539" s="1601"/>
    </row>
    <row r="540" spans="2:9" ht="24" customHeight="1">
      <c r="B540" s="360"/>
      <c r="C540" s="1600"/>
      <c r="D540" s="1600"/>
      <c r="E540" s="1600"/>
      <c r="F540" s="1600"/>
      <c r="G540" s="1600"/>
      <c r="H540" s="1600"/>
      <c r="I540" s="1601"/>
    </row>
    <row r="541" spans="2:9">
      <c r="B541" s="359" t="s">
        <v>416</v>
      </c>
      <c r="C541" s="1646" t="s">
        <v>583</v>
      </c>
      <c r="D541" s="1646"/>
      <c r="E541" s="1646"/>
      <c r="F541" s="1646"/>
      <c r="G541" s="1646"/>
      <c r="H541" s="1646"/>
      <c r="I541" s="1647"/>
    </row>
    <row r="542" spans="2:9" ht="9.9499999999999993" customHeight="1" thickBot="1">
      <c r="B542" s="363"/>
      <c r="C542" s="364"/>
      <c r="D542" s="364"/>
      <c r="E542" s="364"/>
      <c r="F542" s="364"/>
      <c r="G542" s="364"/>
      <c r="H542" s="364"/>
      <c r="I542" s="365"/>
    </row>
    <row r="543" spans="2:9" ht="17.25" thickBot="1"/>
    <row r="544" spans="2:9" ht="24.95" customHeight="1" thickBot="1">
      <c r="B544" s="366" t="s">
        <v>146</v>
      </c>
      <c r="C544" s="1577" t="s">
        <v>328</v>
      </c>
      <c r="D544" s="1577"/>
      <c r="E544" s="1577"/>
      <c r="F544" s="1577"/>
      <c r="G544" s="1577"/>
      <c r="H544" s="1577"/>
      <c r="I544" s="1577"/>
    </row>
    <row r="545" spans="2:9" ht="17.25" thickBot="1">
      <c r="B545" s="367" t="s">
        <v>206</v>
      </c>
      <c r="C545" s="1578" t="s">
        <v>435</v>
      </c>
      <c r="D545" s="1578"/>
      <c r="E545" s="1578"/>
      <c r="F545" s="1578"/>
      <c r="G545" s="1578"/>
      <c r="H545" s="1578"/>
      <c r="I545" s="1578"/>
    </row>
    <row r="546" spans="2:9" ht="18" thickBot="1">
      <c r="B546" s="368" t="s">
        <v>147</v>
      </c>
      <c r="C546" s="1579" t="s">
        <v>225</v>
      </c>
      <c r="D546" s="1579"/>
      <c r="E546" s="1579"/>
      <c r="F546" s="1579"/>
      <c r="G546" s="1579"/>
      <c r="H546" s="1579"/>
      <c r="I546" s="1579"/>
    </row>
    <row r="547" spans="2:9" ht="17.25" thickBot="1">
      <c r="B547" s="355" t="s">
        <v>220</v>
      </c>
      <c r="C547" s="1594" t="s">
        <v>582</v>
      </c>
      <c r="D547" s="1594"/>
      <c r="E547" s="1594"/>
      <c r="F547" s="1594"/>
      <c r="G547" s="1594"/>
      <c r="H547" s="1594"/>
      <c r="I547" s="1595"/>
    </row>
    <row r="548" spans="2:9" ht="9.9499999999999993" customHeight="1">
      <c r="B548" s="576"/>
      <c r="C548" s="139"/>
      <c r="D548" s="139"/>
      <c r="E548" s="139"/>
      <c r="F548" s="139"/>
      <c r="G548" s="139"/>
      <c r="H548" s="139"/>
      <c r="I548" s="577"/>
    </row>
    <row r="549" spans="2:9">
      <c r="B549" s="359" t="s">
        <v>413</v>
      </c>
      <c r="C549" s="1596" t="s">
        <v>428</v>
      </c>
      <c r="D549" s="1653"/>
      <c r="E549" s="1653"/>
      <c r="F549" s="1653"/>
      <c r="G549" s="1653"/>
      <c r="H549" s="1653"/>
      <c r="I549" s="1654"/>
    </row>
    <row r="550" spans="2:9">
      <c r="B550" s="360"/>
      <c r="C550" s="1653"/>
      <c r="D550" s="1653"/>
      <c r="E550" s="1653"/>
      <c r="F550" s="1653"/>
      <c r="G550" s="1653"/>
      <c r="H550" s="1653"/>
      <c r="I550" s="1654"/>
    </row>
    <row r="551" spans="2:9">
      <c r="B551" s="360"/>
      <c r="C551" s="1653"/>
      <c r="D551" s="1653"/>
      <c r="E551" s="1653"/>
      <c r="F551" s="1653"/>
      <c r="G551" s="1653"/>
      <c r="H551" s="1653"/>
      <c r="I551" s="1654"/>
    </row>
    <row r="552" spans="2:9">
      <c r="B552" s="360"/>
      <c r="C552" s="1653"/>
      <c r="D552" s="1653"/>
      <c r="E552" s="1653"/>
      <c r="F552" s="1653"/>
      <c r="G552" s="1653"/>
      <c r="H552" s="1653"/>
      <c r="I552" s="1654"/>
    </row>
    <row r="553" spans="2:9" ht="9.9499999999999993" customHeight="1">
      <c r="B553" s="361"/>
      <c r="C553" s="1653"/>
      <c r="D553" s="1653"/>
      <c r="E553" s="1653"/>
      <c r="F553" s="1653"/>
      <c r="G553" s="1653"/>
      <c r="H553" s="1653"/>
      <c r="I553" s="1654"/>
    </row>
    <row r="554" spans="2:9">
      <c r="B554" s="361" t="s">
        <v>414</v>
      </c>
      <c r="C554" s="1598" t="s">
        <v>646</v>
      </c>
      <c r="D554" s="1598"/>
      <c r="E554" s="1598"/>
      <c r="F554" s="1598"/>
      <c r="G554" s="1598"/>
      <c r="H554" s="1598"/>
      <c r="I554" s="1599"/>
    </row>
    <row r="555" spans="2:9">
      <c r="B555" s="360"/>
      <c r="C555" s="1598"/>
      <c r="D555" s="1598"/>
      <c r="E555" s="1598"/>
      <c r="F555" s="1598"/>
      <c r="G555" s="1598"/>
      <c r="H555" s="1598"/>
      <c r="I555" s="1599"/>
    </row>
    <row r="556" spans="2:9">
      <c r="B556" s="360"/>
      <c r="C556" s="1598"/>
      <c r="D556" s="1598"/>
      <c r="E556" s="1598"/>
      <c r="F556" s="1598"/>
      <c r="G556" s="1598"/>
      <c r="H556" s="1598"/>
      <c r="I556" s="1599"/>
    </row>
    <row r="557" spans="2:9">
      <c r="B557" s="360"/>
      <c r="C557" s="1598"/>
      <c r="D557" s="1598"/>
      <c r="E557" s="1598"/>
      <c r="F557" s="1598"/>
      <c r="G557" s="1598"/>
      <c r="H557" s="1598"/>
      <c r="I557" s="1599"/>
    </row>
    <row r="558" spans="2:9" ht="16.5" customHeight="1">
      <c r="B558" s="362" t="s">
        <v>415</v>
      </c>
      <c r="C558" s="1600" t="s">
        <v>579</v>
      </c>
      <c r="D558" s="1600"/>
      <c r="E558" s="1600"/>
      <c r="F558" s="1600"/>
      <c r="G558" s="1600"/>
      <c r="H558" s="1600"/>
      <c r="I558" s="1601"/>
    </row>
    <row r="559" spans="2:9" ht="20.100000000000001" customHeight="1">
      <c r="B559" s="360"/>
      <c r="C559" s="1600"/>
      <c r="D559" s="1600"/>
      <c r="E559" s="1600"/>
      <c r="F559" s="1600"/>
      <c r="G559" s="1600"/>
      <c r="H559" s="1600"/>
      <c r="I559" s="1601"/>
    </row>
    <row r="560" spans="2:9" ht="16.5" customHeight="1">
      <c r="B560" s="359" t="s">
        <v>416</v>
      </c>
      <c r="C560" s="1598" t="s">
        <v>580</v>
      </c>
      <c r="D560" s="1598"/>
      <c r="E560" s="1598"/>
      <c r="F560" s="1598"/>
      <c r="G560" s="1598"/>
      <c r="H560" s="1598"/>
      <c r="I560" s="1599"/>
    </row>
    <row r="561" spans="2:9" ht="24.95" customHeight="1">
      <c r="B561" s="359"/>
      <c r="C561" s="1598"/>
      <c r="D561" s="1598"/>
      <c r="E561" s="1598"/>
      <c r="F561" s="1598"/>
      <c r="G561" s="1598"/>
      <c r="H561" s="1598"/>
      <c r="I561" s="1599"/>
    </row>
    <row r="562" spans="2:9" ht="16.5" customHeight="1">
      <c r="B562" s="359"/>
      <c r="C562" s="1598"/>
      <c r="D562" s="1598"/>
      <c r="E562" s="1598"/>
      <c r="F562" s="1598"/>
      <c r="G562" s="1598"/>
      <c r="H562" s="1598"/>
      <c r="I562" s="1599"/>
    </row>
    <row r="563" spans="2:9" ht="16.5" customHeight="1">
      <c r="B563" s="373"/>
      <c r="C563" s="1598"/>
      <c r="D563" s="1598"/>
      <c r="E563" s="1598"/>
      <c r="F563" s="1598"/>
      <c r="G563" s="1598"/>
      <c r="H563" s="1598"/>
      <c r="I563" s="1599"/>
    </row>
    <row r="564" spans="2:9" ht="12" customHeight="1" thickBot="1">
      <c r="B564" s="363"/>
      <c r="C564" s="364"/>
      <c r="D564" s="364"/>
      <c r="E564" s="364"/>
      <c r="F564" s="364"/>
      <c r="G564" s="364"/>
      <c r="H564" s="364"/>
      <c r="I564" s="365"/>
    </row>
    <row r="565" spans="2:9" ht="17.25" thickBot="1"/>
    <row r="566" spans="2:9" ht="24.95" customHeight="1" thickBot="1">
      <c r="B566" s="366" t="s">
        <v>146</v>
      </c>
      <c r="C566" s="1577" t="s">
        <v>328</v>
      </c>
      <c r="D566" s="1577"/>
      <c r="E566" s="1577"/>
      <c r="F566" s="1577"/>
      <c r="G566" s="1577"/>
      <c r="H566" s="1577"/>
      <c r="I566" s="1577"/>
    </row>
    <row r="567" spans="2:9" ht="17.25" thickBot="1">
      <c r="B567" s="367" t="s">
        <v>206</v>
      </c>
      <c r="C567" s="1578" t="s">
        <v>435</v>
      </c>
      <c r="D567" s="1578"/>
      <c r="E567" s="1578"/>
      <c r="F567" s="1578"/>
      <c r="G567" s="1578"/>
      <c r="H567" s="1578"/>
      <c r="I567" s="1578"/>
    </row>
    <row r="568" spans="2:9" ht="18" thickBot="1">
      <c r="B568" s="368" t="s">
        <v>147</v>
      </c>
      <c r="C568" s="1579" t="s">
        <v>344</v>
      </c>
      <c r="D568" s="1579"/>
      <c r="E568" s="1579"/>
      <c r="F568" s="1579"/>
      <c r="G568" s="1579"/>
      <c r="H568" s="1579"/>
      <c r="I568" s="1579"/>
    </row>
    <row r="569" spans="2:9" ht="17.25" thickBot="1">
      <c r="B569" s="355" t="s">
        <v>220</v>
      </c>
      <c r="C569" s="1594" t="s">
        <v>582</v>
      </c>
      <c r="D569" s="1594"/>
      <c r="E569" s="1594"/>
      <c r="F569" s="1594"/>
      <c r="G569" s="1594"/>
      <c r="H569" s="1594"/>
      <c r="I569" s="1595"/>
    </row>
    <row r="570" spans="2:9" ht="9.9499999999999993" customHeight="1">
      <c r="B570" s="356"/>
      <c r="C570" s="357"/>
      <c r="D570" s="357"/>
      <c r="E570" s="357"/>
      <c r="F570" s="357"/>
      <c r="G570" s="357"/>
      <c r="H570" s="357"/>
      <c r="I570" s="358"/>
    </row>
    <row r="571" spans="2:9" ht="16.5" customHeight="1">
      <c r="B571" s="359" t="s">
        <v>413</v>
      </c>
      <c r="C571" s="1596" t="s">
        <v>429</v>
      </c>
      <c r="D571" s="1596"/>
      <c r="E571" s="1596"/>
      <c r="F571" s="1596"/>
      <c r="G571" s="1596"/>
      <c r="H571" s="1596"/>
      <c r="I571" s="1597"/>
    </row>
    <row r="572" spans="2:9">
      <c r="B572" s="360"/>
      <c r="C572" s="1596"/>
      <c r="D572" s="1596"/>
      <c r="E572" s="1596"/>
      <c r="F572" s="1596"/>
      <c r="G572" s="1596"/>
      <c r="H572" s="1596"/>
      <c r="I572" s="1597"/>
    </row>
    <row r="573" spans="2:9">
      <c r="B573" s="361"/>
      <c r="C573" s="1596"/>
      <c r="D573" s="1596"/>
      <c r="E573" s="1596"/>
      <c r="F573" s="1596"/>
      <c r="G573" s="1596"/>
      <c r="H573" s="1596"/>
      <c r="I573" s="1597"/>
    </row>
    <row r="574" spans="2:9">
      <c r="B574" s="361"/>
      <c r="C574" s="1596"/>
      <c r="D574" s="1596"/>
      <c r="E574" s="1596"/>
      <c r="F574" s="1596"/>
      <c r="G574" s="1596"/>
      <c r="H574" s="1596"/>
      <c r="I574" s="1597"/>
    </row>
    <row r="575" spans="2:9" ht="9.9499999999999993" customHeight="1">
      <c r="B575" s="361"/>
      <c r="C575" s="1596"/>
      <c r="D575" s="1596"/>
      <c r="E575" s="1596"/>
      <c r="F575" s="1596"/>
      <c r="G575" s="1596"/>
      <c r="H575" s="1596"/>
      <c r="I575" s="1597"/>
    </row>
    <row r="576" spans="2:9">
      <c r="B576" s="359" t="s">
        <v>414</v>
      </c>
      <c r="C576" s="1598" t="s">
        <v>430</v>
      </c>
      <c r="D576" s="1598"/>
      <c r="E576" s="1598"/>
      <c r="F576" s="1598"/>
      <c r="G576" s="1598"/>
      <c r="H576" s="1598"/>
      <c r="I576" s="1599"/>
    </row>
    <row r="577" spans="2:9">
      <c r="B577" s="360"/>
      <c r="C577" s="1598"/>
      <c r="D577" s="1598"/>
      <c r="E577" s="1598"/>
      <c r="F577" s="1598"/>
      <c r="G577" s="1598"/>
      <c r="H577" s="1598"/>
      <c r="I577" s="1599"/>
    </row>
    <row r="578" spans="2:9">
      <c r="B578" s="360"/>
      <c r="C578" s="1598"/>
      <c r="D578" s="1598"/>
      <c r="E578" s="1598"/>
      <c r="F578" s="1598"/>
      <c r="G578" s="1598"/>
      <c r="H578" s="1598"/>
      <c r="I578" s="1599"/>
    </row>
    <row r="579" spans="2:9">
      <c r="B579" s="362"/>
      <c r="C579" s="1598"/>
      <c r="D579" s="1598"/>
      <c r="E579" s="1598"/>
      <c r="F579" s="1598"/>
      <c r="G579" s="1598"/>
      <c r="H579" s="1598"/>
      <c r="I579" s="1599"/>
    </row>
    <row r="580" spans="2:9" ht="16.5" customHeight="1">
      <c r="B580" s="362" t="s">
        <v>415</v>
      </c>
      <c r="C580" s="1600" t="s">
        <v>645</v>
      </c>
      <c r="D580" s="1600"/>
      <c r="E580" s="1600"/>
      <c r="F580" s="1600"/>
      <c r="G580" s="1600"/>
      <c r="H580" s="1600"/>
      <c r="I580" s="1601"/>
    </row>
    <row r="581" spans="2:9">
      <c r="B581" s="360"/>
      <c r="C581" s="1600"/>
      <c r="D581" s="1600"/>
      <c r="E581" s="1600"/>
      <c r="F581" s="1600"/>
      <c r="G581" s="1600"/>
      <c r="H581" s="1600"/>
      <c r="I581" s="1601"/>
    </row>
    <row r="582" spans="2:9">
      <c r="B582" s="360"/>
      <c r="C582" s="1600"/>
      <c r="D582" s="1600"/>
      <c r="E582" s="1600"/>
      <c r="F582" s="1600"/>
      <c r="G582" s="1600"/>
      <c r="H582" s="1600"/>
      <c r="I582" s="1601"/>
    </row>
    <row r="583" spans="2:9" ht="16.5" customHeight="1">
      <c r="B583" s="359" t="s">
        <v>416</v>
      </c>
      <c r="C583" s="1677" t="s">
        <v>581</v>
      </c>
      <c r="D583" s="1677"/>
      <c r="E583" s="1677"/>
      <c r="F583" s="1677"/>
      <c r="G583" s="1677"/>
      <c r="H583" s="1677"/>
      <c r="I583" s="1678"/>
    </row>
    <row r="584" spans="2:9">
      <c r="B584" s="359"/>
      <c r="C584" s="1677"/>
      <c r="D584" s="1677"/>
      <c r="E584" s="1677"/>
      <c r="F584" s="1677"/>
      <c r="G584" s="1677"/>
      <c r="H584" s="1677"/>
      <c r="I584" s="1678"/>
    </row>
    <row r="585" spans="2:9" ht="17.25" thickBot="1">
      <c r="B585" s="578"/>
      <c r="C585" s="1679"/>
      <c r="D585" s="1679"/>
      <c r="E585" s="1679"/>
      <c r="F585" s="1679"/>
      <c r="G585" s="1679"/>
      <c r="H585" s="1679"/>
      <c r="I585" s="1680"/>
    </row>
    <row r="586" spans="2:9" ht="17.25" thickBot="1"/>
    <row r="587" spans="2:9" ht="24.95" customHeight="1" thickBot="1">
      <c r="B587" s="366" t="s">
        <v>146</v>
      </c>
      <c r="C587" s="1577" t="s">
        <v>328</v>
      </c>
      <c r="D587" s="1577"/>
      <c r="E587" s="1577"/>
      <c r="F587" s="1577"/>
      <c r="G587" s="1577"/>
      <c r="H587" s="1577"/>
      <c r="I587" s="1577"/>
    </row>
    <row r="588" spans="2:9" ht="17.25" thickBot="1">
      <c r="B588" s="367" t="s">
        <v>206</v>
      </c>
      <c r="C588" s="1578" t="s">
        <v>435</v>
      </c>
      <c r="D588" s="1578"/>
      <c r="E588" s="1578"/>
      <c r="F588" s="1578"/>
      <c r="G588" s="1578"/>
      <c r="H588" s="1578"/>
      <c r="I588" s="1578"/>
    </row>
    <row r="589" spans="2:9" ht="18" thickBot="1">
      <c r="B589" s="368" t="s">
        <v>147</v>
      </c>
      <c r="C589" s="1579" t="s">
        <v>345</v>
      </c>
      <c r="D589" s="1579"/>
      <c r="E589" s="1579"/>
      <c r="F589" s="1579"/>
      <c r="G589" s="1579"/>
      <c r="H589" s="1579"/>
      <c r="I589" s="1579"/>
    </row>
    <row r="590" spans="2:9" ht="17.25" thickBot="1">
      <c r="B590" s="355" t="s">
        <v>220</v>
      </c>
      <c r="C590" s="1594" t="s">
        <v>582</v>
      </c>
      <c r="D590" s="1594"/>
      <c r="E590" s="1594"/>
      <c r="F590" s="1594"/>
      <c r="G590" s="1594"/>
      <c r="H590" s="1594"/>
      <c r="I590" s="1595"/>
    </row>
    <row r="591" spans="2:9" ht="9.9499999999999993" customHeight="1">
      <c r="B591" s="356"/>
      <c r="C591" s="357"/>
      <c r="D591" s="357"/>
      <c r="E591" s="357"/>
      <c r="F591" s="357"/>
      <c r="G591" s="357"/>
      <c r="H591" s="357"/>
      <c r="I591" s="358"/>
    </row>
    <row r="592" spans="2:9" ht="16.5" customHeight="1">
      <c r="B592" s="359" t="s">
        <v>413</v>
      </c>
      <c r="C592" s="1596" t="s">
        <v>434</v>
      </c>
      <c r="D592" s="1596"/>
      <c r="E592" s="1596"/>
      <c r="F592" s="1596"/>
      <c r="G592" s="1596"/>
      <c r="H592" s="1596"/>
      <c r="I592" s="1597"/>
    </row>
    <row r="593" spans="2:9">
      <c r="B593" s="360"/>
      <c r="C593" s="1596"/>
      <c r="D593" s="1596"/>
      <c r="E593" s="1596"/>
      <c r="F593" s="1596"/>
      <c r="G593" s="1596"/>
      <c r="H593" s="1596"/>
      <c r="I593" s="1597"/>
    </row>
    <row r="594" spans="2:9">
      <c r="B594" s="361"/>
      <c r="C594" s="1596"/>
      <c r="D594" s="1596"/>
      <c r="E594" s="1596"/>
      <c r="F594" s="1596"/>
      <c r="G594" s="1596"/>
      <c r="H594" s="1596"/>
      <c r="I594" s="1597"/>
    </row>
    <row r="595" spans="2:9" ht="9.9499999999999993" customHeight="1">
      <c r="B595" s="361"/>
      <c r="C595" s="1596"/>
      <c r="D595" s="1596"/>
      <c r="E595" s="1596"/>
      <c r="F595" s="1596"/>
      <c r="G595" s="1596"/>
      <c r="H595" s="1596"/>
      <c r="I595" s="1597"/>
    </row>
    <row r="596" spans="2:9">
      <c r="B596" s="361" t="s">
        <v>414</v>
      </c>
      <c r="C596" s="1598" t="s">
        <v>644</v>
      </c>
      <c r="D596" s="1598"/>
      <c r="E596" s="1598"/>
      <c r="F596" s="1598"/>
      <c r="G596" s="1598"/>
      <c r="H596" s="1598"/>
      <c r="I596" s="1599"/>
    </row>
    <row r="597" spans="2:9">
      <c r="B597" s="360"/>
      <c r="C597" s="1598"/>
      <c r="D597" s="1598"/>
      <c r="E597" s="1598"/>
      <c r="F597" s="1598"/>
      <c r="G597" s="1598"/>
      <c r="H597" s="1598"/>
      <c r="I597" s="1599"/>
    </row>
    <row r="598" spans="2:9">
      <c r="B598" s="360"/>
      <c r="C598" s="1598"/>
      <c r="D598" s="1598"/>
      <c r="E598" s="1598"/>
      <c r="F598" s="1598"/>
      <c r="G598" s="1598"/>
      <c r="H598" s="1598"/>
      <c r="I598" s="1599"/>
    </row>
    <row r="599" spans="2:9">
      <c r="B599" s="362"/>
      <c r="C599" s="1598"/>
      <c r="D599" s="1598"/>
      <c r="E599" s="1598"/>
      <c r="F599" s="1598"/>
      <c r="G599" s="1598"/>
      <c r="H599" s="1598"/>
      <c r="I599" s="1599"/>
    </row>
    <row r="600" spans="2:9" ht="16.5" customHeight="1">
      <c r="B600" s="362" t="s">
        <v>415</v>
      </c>
      <c r="C600" s="1600" t="s">
        <v>584</v>
      </c>
      <c r="D600" s="1600"/>
      <c r="E600" s="1600"/>
      <c r="F600" s="1600"/>
      <c r="G600" s="1600"/>
      <c r="H600" s="1600"/>
      <c r="I600" s="1601"/>
    </row>
    <row r="601" spans="2:9">
      <c r="B601" s="362"/>
      <c r="C601" s="1600"/>
      <c r="D601" s="1600"/>
      <c r="E601" s="1600"/>
      <c r="F601" s="1600"/>
      <c r="G601" s="1600"/>
      <c r="H601" s="1600"/>
      <c r="I601" s="1601"/>
    </row>
    <row r="602" spans="2:9">
      <c r="B602" s="362"/>
      <c r="C602" s="1600"/>
      <c r="D602" s="1600"/>
      <c r="E602" s="1600"/>
      <c r="F602" s="1600"/>
      <c r="G602" s="1600"/>
      <c r="H602" s="1600"/>
      <c r="I602" s="1601"/>
    </row>
    <row r="603" spans="2:9">
      <c r="B603" s="359"/>
      <c r="C603" s="1600"/>
      <c r="D603" s="1600"/>
      <c r="E603" s="1600"/>
      <c r="F603" s="1600"/>
      <c r="G603" s="1600"/>
      <c r="H603" s="1600"/>
      <c r="I603" s="1601"/>
    </row>
    <row r="604" spans="2:9" s="370" customFormat="1" ht="16.5" customHeight="1">
      <c r="B604" s="369" t="s">
        <v>585</v>
      </c>
      <c r="C604" s="1598" t="s">
        <v>586</v>
      </c>
      <c r="D604" s="1598"/>
      <c r="E604" s="1598"/>
      <c r="F604" s="1598"/>
      <c r="G604" s="1598"/>
      <c r="H604" s="1598"/>
      <c r="I604" s="1599"/>
    </row>
    <row r="605" spans="2:9" ht="24.95" customHeight="1" thickBot="1">
      <c r="B605" s="578"/>
      <c r="C605" s="1670"/>
      <c r="D605" s="1670"/>
      <c r="E605" s="1670"/>
      <c r="F605" s="1670"/>
      <c r="G605" s="1670"/>
      <c r="H605" s="1670"/>
      <c r="I605" s="1671"/>
    </row>
    <row r="606" spans="2:9" ht="17.25" thickBot="1"/>
    <row r="607" spans="2:9" ht="24.95" customHeight="1" thickBot="1">
      <c r="B607" s="366" t="s">
        <v>146</v>
      </c>
      <c r="C607" s="1577" t="s">
        <v>328</v>
      </c>
      <c r="D607" s="1577"/>
      <c r="E607" s="1577"/>
      <c r="F607" s="1577"/>
      <c r="G607" s="1577"/>
      <c r="H607" s="1577"/>
      <c r="I607" s="1577"/>
    </row>
    <row r="608" spans="2:9" ht="17.25" thickBot="1">
      <c r="B608" s="367" t="s">
        <v>206</v>
      </c>
      <c r="C608" s="1578" t="s">
        <v>435</v>
      </c>
      <c r="D608" s="1578"/>
      <c r="E608" s="1578"/>
      <c r="F608" s="1578"/>
      <c r="G608" s="1578"/>
      <c r="H608" s="1578"/>
      <c r="I608" s="1578"/>
    </row>
    <row r="609" spans="2:9" ht="18" thickBot="1">
      <c r="B609" s="368" t="s">
        <v>147</v>
      </c>
      <c r="C609" s="1579" t="s">
        <v>330</v>
      </c>
      <c r="D609" s="1579"/>
      <c r="E609" s="1579"/>
      <c r="F609" s="1579"/>
      <c r="G609" s="1579"/>
      <c r="H609" s="1579"/>
      <c r="I609" s="1579"/>
    </row>
    <row r="610" spans="2:9" ht="17.25" thickBot="1">
      <c r="B610" s="355" t="s">
        <v>220</v>
      </c>
      <c r="C610" s="1594" t="s">
        <v>582</v>
      </c>
      <c r="D610" s="1594"/>
      <c r="E610" s="1594"/>
      <c r="F610" s="1594"/>
      <c r="G610" s="1594"/>
      <c r="H610" s="1594"/>
      <c r="I610" s="1595"/>
    </row>
    <row r="611" spans="2:9" ht="9.9499999999999993" customHeight="1">
      <c r="B611" s="356"/>
      <c r="C611" s="357"/>
      <c r="D611" s="357"/>
      <c r="E611" s="357"/>
      <c r="F611" s="357"/>
      <c r="G611" s="357"/>
      <c r="H611" s="357"/>
      <c r="I611" s="358"/>
    </row>
    <row r="612" spans="2:9" ht="16.5" customHeight="1">
      <c r="B612" s="843" t="s">
        <v>785</v>
      </c>
      <c r="C612" s="1596" t="s">
        <v>640</v>
      </c>
      <c r="D612" s="1596"/>
      <c r="E612" s="1596"/>
      <c r="F612" s="1596"/>
      <c r="G612" s="580" t="s">
        <v>159</v>
      </c>
      <c r="H612" s="1653" t="s">
        <v>641</v>
      </c>
      <c r="I612" s="1654"/>
    </row>
    <row r="613" spans="2:9" ht="15" customHeight="1">
      <c r="B613" s="360"/>
      <c r="C613" s="350"/>
      <c r="D613" s="350"/>
      <c r="E613" s="350"/>
      <c r="F613" s="350"/>
      <c r="G613" s="372"/>
      <c r="H613" s="372"/>
      <c r="I613" s="371"/>
    </row>
    <row r="614" spans="2:9" ht="16.5" customHeight="1">
      <c r="B614" s="361" t="s">
        <v>414</v>
      </c>
      <c r="C614" s="1598" t="s">
        <v>432</v>
      </c>
      <c r="D614" s="1598"/>
      <c r="E614" s="1598"/>
      <c r="F614" s="1598"/>
      <c r="G614" s="1598"/>
      <c r="H614" s="1598"/>
      <c r="I614" s="1599"/>
    </row>
    <row r="615" spans="2:9">
      <c r="B615" s="360"/>
      <c r="C615" s="1598"/>
      <c r="D615" s="1598"/>
      <c r="E615" s="1598"/>
      <c r="F615" s="1598"/>
      <c r="G615" s="1598"/>
      <c r="H615" s="1598"/>
      <c r="I615" s="1599"/>
    </row>
    <row r="616" spans="2:9" ht="16.5" customHeight="1">
      <c r="B616" s="362"/>
      <c r="C616" s="1598"/>
      <c r="D616" s="1598"/>
      <c r="E616" s="1598"/>
      <c r="F616" s="1598"/>
      <c r="G616" s="1598"/>
      <c r="H616" s="1598"/>
      <c r="I616" s="1599"/>
    </row>
    <row r="617" spans="2:9" ht="20.100000000000001" customHeight="1">
      <c r="B617" s="362"/>
      <c r="C617" s="1598"/>
      <c r="D617" s="1598"/>
      <c r="E617" s="1598"/>
      <c r="F617" s="1598"/>
      <c r="G617" s="1598"/>
      <c r="H617" s="1598"/>
      <c r="I617" s="1599"/>
    </row>
    <row r="618" spans="2:9" ht="16.5" customHeight="1">
      <c r="B618" s="362" t="s">
        <v>415</v>
      </c>
      <c r="C618" s="1600" t="s">
        <v>433</v>
      </c>
      <c r="D618" s="1600"/>
      <c r="E618" s="1600"/>
      <c r="F618" s="1600"/>
      <c r="G618" s="1600"/>
      <c r="H618" s="1600"/>
      <c r="I618" s="1601"/>
    </row>
    <row r="619" spans="2:9">
      <c r="B619" s="360"/>
      <c r="C619" s="1600"/>
      <c r="D619" s="1600"/>
      <c r="E619" s="1600"/>
      <c r="F619" s="1600"/>
      <c r="G619" s="1600"/>
      <c r="H619" s="1600"/>
      <c r="I619" s="1601"/>
    </row>
    <row r="620" spans="2:9" ht="20.100000000000001" customHeight="1">
      <c r="B620" s="360"/>
      <c r="C620" s="1600"/>
      <c r="D620" s="1600"/>
      <c r="E620" s="1600"/>
      <c r="F620" s="1600"/>
      <c r="G620" s="1600"/>
      <c r="H620" s="1600"/>
      <c r="I620" s="1601"/>
    </row>
    <row r="621" spans="2:9" ht="16.5" customHeight="1">
      <c r="B621" s="359" t="s">
        <v>416</v>
      </c>
      <c r="C621" s="1598" t="s">
        <v>642</v>
      </c>
      <c r="D621" s="1598"/>
      <c r="E621" s="1598"/>
      <c r="F621" s="1598"/>
      <c r="G621" s="1598"/>
      <c r="H621" s="1598"/>
      <c r="I621" s="1599"/>
    </row>
    <row r="622" spans="2:9">
      <c r="B622" s="359"/>
      <c r="C622" s="1598"/>
      <c r="D622" s="1598"/>
      <c r="E622" s="1598"/>
      <c r="F622" s="1598"/>
      <c r="G622" s="1598"/>
      <c r="H622" s="1598"/>
      <c r="I622" s="1599"/>
    </row>
    <row r="623" spans="2:9">
      <c r="B623" s="359"/>
      <c r="C623" s="1598"/>
      <c r="D623" s="1598"/>
      <c r="E623" s="1598"/>
      <c r="F623" s="1598"/>
      <c r="G623" s="1598"/>
      <c r="H623" s="1598"/>
      <c r="I623" s="1599"/>
    </row>
    <row r="624" spans="2:9">
      <c r="B624" s="359"/>
      <c r="C624" s="1598"/>
      <c r="D624" s="1598"/>
      <c r="E624" s="1598"/>
      <c r="F624" s="1598"/>
      <c r="G624" s="1598"/>
      <c r="H624" s="1598"/>
      <c r="I624" s="1599"/>
    </row>
    <row r="625" spans="2:9">
      <c r="B625" s="359"/>
      <c r="C625" s="1598"/>
      <c r="D625" s="1598"/>
      <c r="E625" s="1598"/>
      <c r="F625" s="1598"/>
      <c r="G625" s="1598"/>
      <c r="H625" s="1598"/>
      <c r="I625" s="1599"/>
    </row>
    <row r="626" spans="2:9">
      <c r="B626" s="359"/>
      <c r="C626" s="1598"/>
      <c r="D626" s="1598"/>
      <c r="E626" s="1598"/>
      <c r="F626" s="1598"/>
      <c r="G626" s="1598"/>
      <c r="H626" s="1598"/>
      <c r="I626" s="1599"/>
    </row>
    <row r="627" spans="2:9">
      <c r="B627" s="359"/>
      <c r="C627" s="1598"/>
      <c r="D627" s="1598"/>
      <c r="E627" s="1598"/>
      <c r="F627" s="1598"/>
      <c r="G627" s="1598"/>
      <c r="H627" s="1598"/>
      <c r="I627" s="1599"/>
    </row>
    <row r="628" spans="2:9">
      <c r="B628" s="359"/>
      <c r="C628" s="1598"/>
      <c r="D628" s="1598"/>
      <c r="E628" s="1598"/>
      <c r="F628" s="1598"/>
      <c r="G628" s="1598"/>
      <c r="H628" s="1598"/>
      <c r="I628" s="1599"/>
    </row>
    <row r="629" spans="2:9">
      <c r="B629" s="359"/>
      <c r="C629" s="1598"/>
      <c r="D629" s="1598"/>
      <c r="E629" s="1598"/>
      <c r="F629" s="1598"/>
      <c r="G629" s="1598"/>
      <c r="H629" s="1598"/>
      <c r="I629" s="1599"/>
    </row>
    <row r="630" spans="2:9">
      <c r="B630" s="359"/>
      <c r="C630" s="1598"/>
      <c r="D630" s="1598"/>
      <c r="E630" s="1598"/>
      <c r="F630" s="1598"/>
      <c r="G630" s="1598"/>
      <c r="H630" s="1598"/>
      <c r="I630" s="1599"/>
    </row>
    <row r="631" spans="2:9">
      <c r="B631" s="359"/>
      <c r="C631" s="1598"/>
      <c r="D631" s="1598"/>
      <c r="E631" s="1598"/>
      <c r="F631" s="1598"/>
      <c r="G631" s="1598"/>
      <c r="H631" s="1598"/>
      <c r="I631" s="1599"/>
    </row>
    <row r="632" spans="2:9">
      <c r="B632" s="359"/>
      <c r="C632" s="1598"/>
      <c r="D632" s="1598"/>
      <c r="E632" s="1598"/>
      <c r="F632" s="1598"/>
      <c r="G632" s="1598"/>
      <c r="H632" s="1598"/>
      <c r="I632" s="1599"/>
    </row>
    <row r="633" spans="2:9">
      <c r="B633" s="359"/>
      <c r="C633" s="1598"/>
      <c r="D633" s="1598"/>
      <c r="E633" s="1598"/>
      <c r="F633" s="1598"/>
      <c r="G633" s="1598"/>
      <c r="H633" s="1598"/>
      <c r="I633" s="1599"/>
    </row>
    <row r="634" spans="2:9" ht="24.95" customHeight="1">
      <c r="B634" s="359"/>
      <c r="C634" s="1598"/>
      <c r="D634" s="1598"/>
      <c r="E634" s="1598"/>
      <c r="F634" s="1598"/>
      <c r="G634" s="1598"/>
      <c r="H634" s="1598"/>
      <c r="I634" s="1599"/>
    </row>
    <row r="635" spans="2:9" ht="16.5" customHeight="1">
      <c r="B635" s="359" t="s">
        <v>417</v>
      </c>
      <c r="C635" s="1596" t="s">
        <v>643</v>
      </c>
      <c r="D635" s="1596"/>
      <c r="E635" s="1596"/>
      <c r="F635" s="1596"/>
      <c r="G635" s="1596"/>
      <c r="H635" s="1596"/>
      <c r="I635" s="1597"/>
    </row>
    <row r="636" spans="2:9">
      <c r="B636" s="373"/>
      <c r="C636" s="1596"/>
      <c r="D636" s="1596"/>
      <c r="E636" s="1596"/>
      <c r="F636" s="1596"/>
      <c r="G636" s="1596"/>
      <c r="H636" s="1596"/>
      <c r="I636" s="1597"/>
    </row>
    <row r="637" spans="2:9">
      <c r="B637" s="373"/>
      <c r="C637" s="1596"/>
      <c r="D637" s="1596"/>
      <c r="E637" s="1596"/>
      <c r="F637" s="1596"/>
      <c r="G637" s="1596"/>
      <c r="H637" s="1596"/>
      <c r="I637" s="1597"/>
    </row>
    <row r="638" spans="2:9">
      <c r="B638" s="373"/>
      <c r="C638" s="1596"/>
      <c r="D638" s="1596"/>
      <c r="E638" s="1596"/>
      <c r="F638" s="1596"/>
      <c r="G638" s="1596"/>
      <c r="H638" s="1596"/>
      <c r="I638" s="1597"/>
    </row>
    <row r="639" spans="2:9">
      <c r="B639" s="373"/>
      <c r="C639" s="1596"/>
      <c r="D639" s="1596"/>
      <c r="E639" s="1596"/>
      <c r="F639" s="1596"/>
      <c r="G639" s="1596"/>
      <c r="H639" s="1596"/>
      <c r="I639" s="1597"/>
    </row>
    <row r="640" spans="2:9">
      <c r="B640" s="373"/>
      <c r="C640" s="1596"/>
      <c r="D640" s="1596"/>
      <c r="E640" s="1596"/>
      <c r="F640" s="1596"/>
      <c r="G640" s="1596"/>
      <c r="H640" s="1596"/>
      <c r="I640" s="1597"/>
    </row>
    <row r="641" spans="2:9">
      <c r="B641" s="373"/>
      <c r="C641" s="1596"/>
      <c r="D641" s="1596"/>
      <c r="E641" s="1596"/>
      <c r="F641" s="1596"/>
      <c r="G641" s="1596"/>
      <c r="H641" s="1596"/>
      <c r="I641" s="1597"/>
    </row>
    <row r="642" spans="2:9">
      <c r="B642" s="373"/>
      <c r="C642" s="1596"/>
      <c r="D642" s="1596"/>
      <c r="E642" s="1596"/>
      <c r="F642" s="1596"/>
      <c r="G642" s="1596"/>
      <c r="H642" s="1596"/>
      <c r="I642" s="1597"/>
    </row>
    <row r="643" spans="2:9">
      <c r="B643" s="373"/>
      <c r="C643" s="1596"/>
      <c r="D643" s="1596"/>
      <c r="E643" s="1596"/>
      <c r="F643" s="1596"/>
      <c r="G643" s="1596"/>
      <c r="H643" s="1596"/>
      <c r="I643" s="1597"/>
    </row>
    <row r="644" spans="2:9">
      <c r="B644" s="373"/>
      <c r="C644" s="1596"/>
      <c r="D644" s="1596"/>
      <c r="E644" s="1596"/>
      <c r="F644" s="1596"/>
      <c r="G644" s="1596"/>
      <c r="H644" s="1596"/>
      <c r="I644" s="1597"/>
    </row>
    <row r="645" spans="2:9" ht="24.95" customHeight="1" thickBot="1">
      <c r="B645" s="363"/>
      <c r="C645" s="1697"/>
      <c r="D645" s="1697"/>
      <c r="E645" s="1697"/>
      <c r="F645" s="1697"/>
      <c r="G645" s="1697"/>
      <c r="H645" s="1697"/>
      <c r="I645" s="1698"/>
    </row>
    <row r="646" spans="2:9" ht="17.25" thickBot="1"/>
    <row r="647" spans="2:9" ht="24.95" customHeight="1" thickBot="1">
      <c r="B647" s="374" t="s">
        <v>531</v>
      </c>
      <c r="C647" s="375" t="s">
        <v>532</v>
      </c>
      <c r="D647" s="375"/>
      <c r="E647" s="375"/>
      <c r="F647" s="375"/>
      <c r="G647" s="375"/>
      <c r="H647" s="375"/>
      <c r="I647" s="376"/>
    </row>
    <row r="648" spans="2:9" ht="16.5" customHeight="1">
      <c r="B648" s="377"/>
      <c r="C648" s="378"/>
      <c r="D648" s="378"/>
      <c r="E648" s="378"/>
      <c r="F648" s="378"/>
      <c r="G648" s="378"/>
      <c r="H648" s="378"/>
      <c r="I648" s="379"/>
    </row>
    <row r="649" spans="2:9" ht="16.5" customHeight="1">
      <c r="B649" s="380" t="s">
        <v>538</v>
      </c>
      <c r="C649" s="238" t="s">
        <v>546</v>
      </c>
      <c r="D649" s="265"/>
      <c r="E649" s="265"/>
      <c r="F649" s="265"/>
      <c r="G649" s="265"/>
      <c r="H649" s="265"/>
      <c r="I649" s="381"/>
    </row>
    <row r="650" spans="2:9" ht="16.5" customHeight="1">
      <c r="B650" s="382" t="s">
        <v>539</v>
      </c>
      <c r="C650" s="238" t="s">
        <v>547</v>
      </c>
      <c r="D650" s="265"/>
      <c r="E650" s="265"/>
      <c r="F650" s="265"/>
      <c r="G650" s="265"/>
      <c r="H650" s="265"/>
      <c r="I650" s="381"/>
    </row>
    <row r="651" spans="2:9" ht="16.5" customHeight="1">
      <c r="B651" s="382" t="s">
        <v>540</v>
      </c>
      <c r="C651" s="238" t="s">
        <v>548</v>
      </c>
      <c r="D651" s="265"/>
      <c r="E651" s="265"/>
      <c r="F651" s="265"/>
      <c r="G651" s="265"/>
      <c r="H651" s="265"/>
      <c r="I651" s="381"/>
    </row>
    <row r="652" spans="2:9" ht="16.5" customHeight="1">
      <c r="B652" s="383"/>
      <c r="C652" s="265" t="s">
        <v>541</v>
      </c>
      <c r="D652" s="265"/>
      <c r="E652" s="265"/>
      <c r="F652" s="265"/>
      <c r="G652" s="265"/>
      <c r="H652" s="265"/>
      <c r="I652" s="381"/>
    </row>
    <row r="653" spans="2:9" ht="16.5" customHeight="1">
      <c r="B653" s="380" t="s">
        <v>544</v>
      </c>
      <c r="C653" s="238" t="s">
        <v>549</v>
      </c>
      <c r="D653" s="265"/>
      <c r="E653" s="265"/>
      <c r="F653" s="265"/>
      <c r="G653" s="265"/>
      <c r="H653" s="265"/>
      <c r="I653" s="381"/>
    </row>
    <row r="654" spans="2:9" ht="16.5" customHeight="1">
      <c r="B654" s="380" t="s">
        <v>545</v>
      </c>
      <c r="C654" s="238" t="s">
        <v>550</v>
      </c>
      <c r="D654" s="265"/>
      <c r="E654" s="265"/>
      <c r="F654" s="265"/>
      <c r="G654" s="265"/>
      <c r="H654" s="265"/>
      <c r="I654" s="381"/>
    </row>
    <row r="655" spans="2:9" ht="16.5" customHeight="1">
      <c r="B655" s="383"/>
      <c r="C655" s="265"/>
      <c r="D655" s="265"/>
      <c r="E655" s="265"/>
      <c r="F655" s="265"/>
      <c r="G655" s="265"/>
      <c r="H655" s="265"/>
      <c r="I655" s="381"/>
    </row>
    <row r="656" spans="2:9" ht="16.5" customHeight="1">
      <c r="B656" s="1686" t="s">
        <v>635</v>
      </c>
      <c r="C656" s="1687"/>
      <c r="D656" s="1687"/>
      <c r="E656" s="1687"/>
      <c r="F656" s="1687"/>
      <c r="G656" s="1687"/>
      <c r="H656" s="1687"/>
      <c r="I656" s="1688"/>
    </row>
    <row r="657" spans="2:9" ht="16.5" customHeight="1">
      <c r="B657" s="1686"/>
      <c r="C657" s="1687"/>
      <c r="D657" s="1687"/>
      <c r="E657" s="1687"/>
      <c r="F657" s="1687"/>
      <c r="G657" s="1687"/>
      <c r="H657" s="1687"/>
      <c r="I657" s="1688"/>
    </row>
    <row r="658" spans="2:9" ht="16.5" customHeight="1">
      <c r="B658" s="1704" t="s">
        <v>535</v>
      </c>
      <c r="C658" s="1702" t="s">
        <v>533</v>
      </c>
      <c r="D658" s="1702"/>
      <c r="E658" s="1702"/>
      <c r="F658" s="1702"/>
      <c r="G658" s="384"/>
      <c r="H658" s="384"/>
      <c r="I658" s="385"/>
    </row>
    <row r="659" spans="2:9" ht="16.5" customHeight="1">
      <c r="B659" s="1704"/>
      <c r="C659" s="1703" t="s">
        <v>634</v>
      </c>
      <c r="D659" s="1703"/>
      <c r="E659" s="1703"/>
      <c r="F659" s="1703"/>
      <c r="G659" s="386"/>
      <c r="H659" s="386"/>
      <c r="I659" s="387"/>
    </row>
    <row r="660" spans="2:9" ht="8.1" customHeight="1">
      <c r="B660" s="1704"/>
      <c r="C660" s="1705"/>
      <c r="D660" s="1705"/>
      <c r="E660" s="1705"/>
      <c r="F660" s="1705"/>
      <c r="G660" s="1705"/>
      <c r="H660" s="1705"/>
      <c r="I660" s="1706"/>
    </row>
    <row r="661" spans="2:9" ht="16.5" customHeight="1">
      <c r="B661" s="579" t="s">
        <v>638</v>
      </c>
      <c r="C661" s="901"/>
      <c r="D661" s="901"/>
      <c r="E661" s="901"/>
      <c r="F661" s="901"/>
      <c r="G661" s="901"/>
      <c r="H661" s="901"/>
      <c r="I661" s="902"/>
    </row>
    <row r="662" spans="2:9" ht="16.5" customHeight="1">
      <c r="B662" s="388" t="s">
        <v>534</v>
      </c>
      <c r="C662" s="238"/>
      <c r="D662" s="238"/>
      <c r="E662" s="238"/>
      <c r="F662" s="238"/>
      <c r="G662" s="238"/>
      <c r="H662" s="238"/>
      <c r="I662" s="389"/>
    </row>
    <row r="663" spans="2:9" ht="16.5" customHeight="1">
      <c r="B663" s="1707" t="s">
        <v>543</v>
      </c>
      <c r="C663" s="1708"/>
      <c r="D663" s="1708"/>
      <c r="E663" s="1708"/>
      <c r="F663" s="1708"/>
      <c r="G663" s="1708"/>
      <c r="H663" s="1708"/>
      <c r="I663" s="1709"/>
    </row>
    <row r="664" spans="2:9" ht="16.5" customHeight="1">
      <c r="B664" s="1707"/>
      <c r="C664" s="1708"/>
      <c r="D664" s="1708"/>
      <c r="E664" s="1708"/>
      <c r="F664" s="1708"/>
      <c r="G664" s="1708"/>
      <c r="H664" s="1708"/>
      <c r="I664" s="1709"/>
    </row>
    <row r="665" spans="2:9" ht="5.0999999999999996" customHeight="1">
      <c r="B665" s="903"/>
      <c r="C665" s="904"/>
      <c r="D665" s="904"/>
      <c r="E665" s="904"/>
      <c r="F665" s="904"/>
      <c r="G665" s="904"/>
      <c r="H665" s="904"/>
      <c r="I665" s="905"/>
    </row>
    <row r="666" spans="2:9" ht="16.5" customHeight="1">
      <c r="B666" s="1686" t="s">
        <v>636</v>
      </c>
      <c r="C666" s="1687"/>
      <c r="D666" s="1687"/>
      <c r="E666" s="1687"/>
      <c r="F666" s="1687"/>
      <c r="G666" s="1687"/>
      <c r="H666" s="1687"/>
      <c r="I666" s="1688"/>
    </row>
    <row r="667" spans="2:9" ht="16.5" customHeight="1">
      <c r="B667" s="1686"/>
      <c r="C667" s="1687"/>
      <c r="D667" s="1687"/>
      <c r="E667" s="1687"/>
      <c r="F667" s="1687"/>
      <c r="G667" s="1687"/>
      <c r="H667" s="1687"/>
      <c r="I667" s="1688"/>
    </row>
    <row r="668" spans="2:9" ht="16.5" customHeight="1">
      <c r="B668" s="1692" t="s">
        <v>536</v>
      </c>
      <c r="C668" s="1693" t="s">
        <v>537</v>
      </c>
      <c r="D668" s="1693"/>
      <c r="E668" s="894"/>
      <c r="F668" s="894"/>
      <c r="G668" s="894"/>
      <c r="H668" s="894"/>
      <c r="I668" s="895"/>
    </row>
    <row r="669" spans="2:9" ht="16.5" customHeight="1">
      <c r="B669" s="1692"/>
      <c r="C669" s="1694" t="s">
        <v>637</v>
      </c>
      <c r="D669" s="1694"/>
      <c r="E669" s="894"/>
      <c r="F669" s="894"/>
      <c r="G669" s="894"/>
      <c r="H669" s="894"/>
      <c r="I669" s="895"/>
    </row>
    <row r="670" spans="2:9" ht="8.1" customHeight="1">
      <c r="B670" s="896"/>
      <c r="C670" s="897"/>
      <c r="D670" s="897"/>
      <c r="E670" s="894"/>
      <c r="F670" s="894"/>
      <c r="G670" s="894"/>
      <c r="H670" s="894"/>
      <c r="I670" s="895"/>
    </row>
    <row r="671" spans="2:9" ht="16.5" customHeight="1">
      <c r="B671" s="1695" t="s">
        <v>638</v>
      </c>
      <c r="C671" s="1602"/>
      <c r="D671" s="1602"/>
      <c r="E671" s="894"/>
      <c r="F671" s="894"/>
      <c r="G671" s="894"/>
      <c r="H671" s="894"/>
      <c r="I671" s="895"/>
    </row>
    <row r="672" spans="2:9" ht="16.5" customHeight="1">
      <c r="B672" s="1695" t="s">
        <v>534</v>
      </c>
      <c r="C672" s="1602"/>
      <c r="D672" s="1602"/>
      <c r="E672" s="1602"/>
      <c r="F672" s="1602"/>
      <c r="G672" s="1602"/>
      <c r="H672" s="1602"/>
      <c r="I672" s="1696"/>
    </row>
    <row r="673" spans="2:9" ht="16.5" customHeight="1">
      <c r="B673" s="1699" t="s">
        <v>542</v>
      </c>
      <c r="C673" s="1700"/>
      <c r="D673" s="1700"/>
      <c r="E673" s="1700"/>
      <c r="F673" s="1700"/>
      <c r="G673" s="1700"/>
      <c r="H673" s="1700"/>
      <c r="I673" s="1701"/>
    </row>
    <row r="674" spans="2:9" ht="16.5" customHeight="1">
      <c r="B674" s="898"/>
      <c r="C674" s="899"/>
      <c r="D674" s="899"/>
      <c r="E674" s="899"/>
      <c r="F674" s="899"/>
      <c r="G674" s="899"/>
      <c r="H674" s="899"/>
      <c r="I674" s="900"/>
    </row>
    <row r="675" spans="2:9" ht="16.5" customHeight="1">
      <c r="B675" s="1686" t="s">
        <v>639</v>
      </c>
      <c r="C675" s="1687"/>
      <c r="D675" s="1687"/>
      <c r="E675" s="1687"/>
      <c r="F675" s="1687"/>
      <c r="G675" s="1687"/>
      <c r="H675" s="1687"/>
      <c r="I675" s="1688"/>
    </row>
    <row r="676" spans="2:9" ht="16.5" customHeight="1">
      <c r="B676" s="1686"/>
      <c r="C676" s="1687"/>
      <c r="D676" s="1687"/>
      <c r="E676" s="1687"/>
      <c r="F676" s="1687"/>
      <c r="G676" s="1687"/>
      <c r="H676" s="1687"/>
      <c r="I676" s="1688"/>
    </row>
    <row r="677" spans="2:9" ht="16.5" customHeight="1" thickBot="1">
      <c r="B677" s="1689"/>
      <c r="C677" s="1690"/>
      <c r="D677" s="1690"/>
      <c r="E677" s="1690"/>
      <c r="F677" s="1690"/>
      <c r="G677" s="1690"/>
      <c r="H677" s="1690"/>
      <c r="I677" s="1691"/>
    </row>
    <row r="678" spans="2:9" ht="24.95" customHeight="1" thickBot="1">
      <c r="B678" s="1069" t="s">
        <v>146</v>
      </c>
      <c r="C678" s="1577" t="s">
        <v>328</v>
      </c>
      <c r="D678" s="1577"/>
      <c r="E678" s="1577"/>
      <c r="F678" s="1577"/>
      <c r="G678" s="1577"/>
      <c r="H678" s="1577"/>
      <c r="I678" s="1577"/>
    </row>
    <row r="679" spans="2:9" ht="17.25" thickBot="1">
      <c r="B679" s="1070" t="s">
        <v>206</v>
      </c>
      <c r="C679" s="1578" t="s">
        <v>435</v>
      </c>
      <c r="D679" s="1578"/>
      <c r="E679" s="1578"/>
      <c r="F679" s="1578"/>
      <c r="G679" s="1578"/>
      <c r="H679" s="1578"/>
      <c r="I679" s="1578"/>
    </row>
    <row r="680" spans="2:9" ht="18" thickBot="1">
      <c r="B680" s="1071" t="s">
        <v>832</v>
      </c>
      <c r="C680" s="1579"/>
      <c r="D680" s="1579"/>
      <c r="E680" s="1579"/>
      <c r="F680" s="1579"/>
      <c r="G680" s="1579"/>
      <c r="H680" s="1579"/>
      <c r="I680" s="1579"/>
    </row>
    <row r="681" spans="2:9" ht="17.25" thickBot="1">
      <c r="B681" s="1072" t="s">
        <v>220</v>
      </c>
      <c r="C681" s="1580" t="s">
        <v>833</v>
      </c>
      <c r="D681" s="1580"/>
      <c r="E681" s="1580"/>
      <c r="F681" s="1580"/>
      <c r="G681" s="1580"/>
      <c r="H681" s="1580"/>
      <c r="I681" s="1581"/>
    </row>
    <row r="683" spans="2:9">
      <c r="B683" s="1074" t="s">
        <v>849</v>
      </c>
    </row>
    <row r="684" spans="2:9" ht="7.5" customHeight="1">
      <c r="B684" s="128"/>
    </row>
    <row r="685" spans="2:9">
      <c r="B685" s="128" t="s">
        <v>834</v>
      </c>
    </row>
    <row r="686" spans="2:9">
      <c r="B686" s="128" t="s">
        <v>835</v>
      </c>
    </row>
    <row r="687" spans="2:9">
      <c r="B687" s="128"/>
      <c r="C687" s="128" t="s">
        <v>836</v>
      </c>
      <c r="D687" s="128"/>
    </row>
    <row r="688" spans="2:9">
      <c r="B688" s="128" t="s">
        <v>841</v>
      </c>
      <c r="C688" s="128"/>
      <c r="D688" s="128"/>
    </row>
    <row r="689" spans="2:4">
      <c r="B689" s="128"/>
      <c r="C689" s="128" t="s">
        <v>837</v>
      </c>
      <c r="D689" s="128"/>
    </row>
    <row r="690" spans="2:4">
      <c r="B690" s="128"/>
      <c r="C690" s="128" t="s">
        <v>840</v>
      </c>
      <c r="D690" s="128"/>
    </row>
    <row r="691" spans="2:4">
      <c r="B691" s="128"/>
      <c r="C691" s="128" t="s">
        <v>838</v>
      </c>
      <c r="D691" s="128"/>
    </row>
    <row r="692" spans="2:4">
      <c r="B692" s="128" t="s">
        <v>839</v>
      </c>
    </row>
    <row r="693" spans="2:4" ht="8.25" customHeight="1"/>
    <row r="694" spans="2:4">
      <c r="B694" s="1074" t="s">
        <v>850</v>
      </c>
      <c r="C694" s="1073"/>
      <c r="D694" s="1073"/>
    </row>
    <row r="695" spans="2:4" ht="8.25" customHeight="1">
      <c r="B695" s="128"/>
      <c r="C695" s="128"/>
      <c r="D695" s="128"/>
    </row>
    <row r="696" spans="2:4">
      <c r="B696" s="128" t="s">
        <v>842</v>
      </c>
      <c r="C696" s="128"/>
      <c r="D696" s="128"/>
    </row>
    <row r="697" spans="2:4">
      <c r="B697" s="128"/>
      <c r="C697" s="128" t="s">
        <v>843</v>
      </c>
      <c r="D697" s="128"/>
    </row>
    <row r="698" spans="2:4">
      <c r="B698" s="128" t="s">
        <v>844</v>
      </c>
      <c r="C698" s="128"/>
      <c r="D698" s="128"/>
    </row>
    <row r="699" spans="2:4">
      <c r="B699" s="128"/>
      <c r="C699" s="128" t="s">
        <v>845</v>
      </c>
      <c r="D699" s="128"/>
    </row>
    <row r="700" spans="2:4">
      <c r="B700" s="128"/>
      <c r="C700" s="128" t="s">
        <v>846</v>
      </c>
      <c r="D700" s="128"/>
    </row>
    <row r="701" spans="2:4">
      <c r="B701" s="128"/>
      <c r="C701" s="128" t="s">
        <v>847</v>
      </c>
      <c r="D701" s="128"/>
    </row>
    <row r="702" spans="2:4">
      <c r="B702" s="128" t="s">
        <v>848</v>
      </c>
      <c r="C702" s="128"/>
      <c r="D702" s="128"/>
    </row>
  </sheetData>
  <sheetProtection algorithmName="SHA-512" hashValue="Rg/tegLsCuB3CibE0SIXt2UTuboAl3lH8gJB96Lv8NyFD2lvj3Z5lQ9m05cvWH+XZNB25AjotZz1lF5AEEjvbQ==" saltValue="Fw007VSpGQ2gDD+WWzmiwA==" spinCount="100000" sheet="1" objects="1" scenarios="1"/>
  <mergeCells count="278">
    <mergeCell ref="J500:M503"/>
    <mergeCell ref="C508:I511"/>
    <mergeCell ref="C485:I489"/>
    <mergeCell ref="C504:I504"/>
    <mergeCell ref="C491:I491"/>
    <mergeCell ref="C492:I492"/>
    <mergeCell ref="C411:I411"/>
    <mergeCell ref="C414:I414"/>
    <mergeCell ref="C415:I415"/>
    <mergeCell ref="C455:I455"/>
    <mergeCell ref="C445:I445"/>
    <mergeCell ref="C451:I452"/>
    <mergeCell ref="C422:I443"/>
    <mergeCell ref="C447:I449"/>
    <mergeCell ref="B496:B497"/>
    <mergeCell ref="C496:E496"/>
    <mergeCell ref="F496:F497"/>
    <mergeCell ref="G496:H496"/>
    <mergeCell ref="I496:I497"/>
    <mergeCell ref="C493:I493"/>
    <mergeCell ref="C494:I494"/>
    <mergeCell ref="C506:I506"/>
    <mergeCell ref="G497:H497"/>
    <mergeCell ref="C499:I503"/>
    <mergeCell ref="C497:E497"/>
    <mergeCell ref="B221:B222"/>
    <mergeCell ref="F221:F222"/>
    <mergeCell ref="C239:I242"/>
    <mergeCell ref="C160:I160"/>
    <mergeCell ref="C161:I161"/>
    <mergeCell ref="B284:B285"/>
    <mergeCell ref="I284:I285"/>
    <mergeCell ref="C284:F284"/>
    <mergeCell ref="C285:F285"/>
    <mergeCell ref="G284:G285"/>
    <mergeCell ref="C253:F253"/>
    <mergeCell ref="G253:G254"/>
    <mergeCell ref="B253:B254"/>
    <mergeCell ref="I253:I254"/>
    <mergeCell ref="C282:I282"/>
    <mergeCell ref="C249:I249"/>
    <mergeCell ref="B168:B169"/>
    <mergeCell ref="C251:I251"/>
    <mergeCell ref="C279:I279"/>
    <mergeCell ref="C280:I280"/>
    <mergeCell ref="C281:I281"/>
    <mergeCell ref="C254:F254"/>
    <mergeCell ref="C267:I269"/>
    <mergeCell ref="C236:I237"/>
    <mergeCell ref="C159:I159"/>
    <mergeCell ref="C85:I85"/>
    <mergeCell ref="C127:D127"/>
    <mergeCell ref="E165:F165"/>
    <mergeCell ref="C133:E133"/>
    <mergeCell ref="F132:F133"/>
    <mergeCell ref="C96:I105"/>
    <mergeCell ref="C162:I162"/>
    <mergeCell ref="C154:I156"/>
    <mergeCell ref="C129:I129"/>
    <mergeCell ref="C120:I120"/>
    <mergeCell ref="C121:I121"/>
    <mergeCell ref="C149:I153"/>
    <mergeCell ref="B132:B133"/>
    <mergeCell ref="C64:I64"/>
    <mergeCell ref="C86:I86"/>
    <mergeCell ref="C87:I87"/>
    <mergeCell ref="C122:I122"/>
    <mergeCell ref="C62:I62"/>
    <mergeCell ref="C46:I49"/>
    <mergeCell ref="C51:I52"/>
    <mergeCell ref="C123:I123"/>
    <mergeCell ref="C2:I2"/>
    <mergeCell ref="C3:I3"/>
    <mergeCell ref="C4:I4"/>
    <mergeCell ref="C80:I81"/>
    <mergeCell ref="C7:D7"/>
    <mergeCell ref="C8:D9"/>
    <mergeCell ref="C57:I58"/>
    <mergeCell ref="F43:H43"/>
    <mergeCell ref="C77:I78"/>
    <mergeCell ref="C54:I56"/>
    <mergeCell ref="E8:F9"/>
    <mergeCell ref="C61:I61"/>
    <mergeCell ref="C66:E66"/>
    <mergeCell ref="F66:H66"/>
    <mergeCell ref="C5:I5"/>
    <mergeCell ref="C11:D11"/>
    <mergeCell ref="C38:I38"/>
    <mergeCell ref="C39:I39"/>
    <mergeCell ref="C40:I40"/>
    <mergeCell ref="C22:I22"/>
    <mergeCell ref="C25:I27"/>
    <mergeCell ref="C33:I33"/>
    <mergeCell ref="C31:I31"/>
    <mergeCell ref="C35:I35"/>
    <mergeCell ref="C14:I21"/>
    <mergeCell ref="C12:D12"/>
    <mergeCell ref="C549:I553"/>
    <mergeCell ref="C547:I547"/>
    <mergeCell ref="C219:I219"/>
    <mergeCell ref="C93:E93"/>
    <mergeCell ref="F93:F94"/>
    <mergeCell ref="C256:I265"/>
    <mergeCell ref="C416:I416"/>
    <mergeCell ref="C406:I409"/>
    <mergeCell ref="C43:E43"/>
    <mergeCell ref="C41:I41"/>
    <mergeCell ref="C135:I144"/>
    <mergeCell ref="C146:I148"/>
    <mergeCell ref="C88:I88"/>
    <mergeCell ref="C169:E169"/>
    <mergeCell ref="C202:I202"/>
    <mergeCell ref="C203:I203"/>
    <mergeCell ref="C182:I183"/>
    <mergeCell ref="C168:E168"/>
    <mergeCell ref="C197:I200"/>
    <mergeCell ref="C171:I181"/>
    <mergeCell ref="C360:I360"/>
    <mergeCell ref="C361:I361"/>
    <mergeCell ref="B675:I677"/>
    <mergeCell ref="C614:I617"/>
    <mergeCell ref="C618:I620"/>
    <mergeCell ref="B666:I667"/>
    <mergeCell ref="B668:B669"/>
    <mergeCell ref="C668:D668"/>
    <mergeCell ref="C669:D669"/>
    <mergeCell ref="B672:I672"/>
    <mergeCell ref="C635:I645"/>
    <mergeCell ref="B673:I673"/>
    <mergeCell ref="B671:D671"/>
    <mergeCell ref="B656:I657"/>
    <mergeCell ref="C658:F658"/>
    <mergeCell ref="C659:F659"/>
    <mergeCell ref="B658:B659"/>
    <mergeCell ref="B660:I660"/>
    <mergeCell ref="C621:I634"/>
    <mergeCell ref="B663:I664"/>
    <mergeCell ref="B11:B12"/>
    <mergeCell ref="C604:I605"/>
    <mergeCell ref="C118:I118"/>
    <mergeCell ref="C94:E94"/>
    <mergeCell ref="C132:E132"/>
    <mergeCell ref="G93:G94"/>
    <mergeCell ref="C590:I590"/>
    <mergeCell ref="C583:I585"/>
    <mergeCell ref="C576:I579"/>
    <mergeCell ref="F168:F169"/>
    <mergeCell ref="C248:I248"/>
    <mergeCell ref="C185:I195"/>
    <mergeCell ref="C205:I205"/>
    <mergeCell ref="E208:G208"/>
    <mergeCell ref="E207:G207"/>
    <mergeCell ref="C481:I484"/>
    <mergeCell ref="C516:I516"/>
    <mergeCell ref="C544:I544"/>
    <mergeCell ref="C456:I456"/>
    <mergeCell ref="C287:I292"/>
    <mergeCell ref="C297:I297"/>
    <mergeCell ref="C299:I300"/>
    <mergeCell ref="C294:I295"/>
    <mergeCell ref="C309:F309"/>
    <mergeCell ref="C609:I609"/>
    <mergeCell ref="C610:I610"/>
    <mergeCell ref="C612:F612"/>
    <mergeCell ref="H612:I612"/>
    <mergeCell ref="C44:E44"/>
    <mergeCell ref="B43:B44"/>
    <mergeCell ref="C222:E222"/>
    <mergeCell ref="C216:I216"/>
    <mergeCell ref="E209:I209"/>
    <mergeCell ref="C211:I214"/>
    <mergeCell ref="C221:E221"/>
    <mergeCell ref="C567:I567"/>
    <mergeCell ref="C568:I568"/>
    <mergeCell ref="C63:I63"/>
    <mergeCell ref="C69:I75"/>
    <mergeCell ref="C107:I108"/>
    <mergeCell ref="C110:I113"/>
    <mergeCell ref="C560:I563"/>
    <mergeCell ref="C333:I333"/>
    <mergeCell ref="C250:I250"/>
    <mergeCell ref="C417:I417"/>
    <mergeCell ref="C386:I386"/>
    <mergeCell ref="C275:I276"/>
    <mergeCell ref="B93:B94"/>
    <mergeCell ref="C566:I566"/>
    <mergeCell ref="C571:I575"/>
    <mergeCell ref="C538:I540"/>
    <mergeCell ref="C527:I537"/>
    <mergeCell ref="C513:I513"/>
    <mergeCell ref="C514:I514"/>
    <mergeCell ref="C479:I479"/>
    <mergeCell ref="C460:H460"/>
    <mergeCell ref="C608:I608"/>
    <mergeCell ref="C348:I349"/>
    <mergeCell ref="C341:I347"/>
    <mergeCell ref="C334:I334"/>
    <mergeCell ref="C335:I335"/>
    <mergeCell ref="C461:H461"/>
    <mergeCell ref="C558:I559"/>
    <mergeCell ref="C384:I384"/>
    <mergeCell ref="C327:I329"/>
    <mergeCell ref="C546:I546"/>
    <mergeCell ref="C387:I387"/>
    <mergeCell ref="C350:I352"/>
    <mergeCell ref="C354:I354"/>
    <mergeCell ref="C358:I358"/>
    <mergeCell ref="C359:I359"/>
    <mergeCell ref="C554:I557"/>
    <mergeCell ref="C377:I380"/>
    <mergeCell ref="C374:I375"/>
    <mergeCell ref="C515:I515"/>
    <mergeCell ref="C395:I400"/>
    <mergeCell ref="C518:I525"/>
    <mergeCell ref="C541:I541"/>
    <mergeCell ref="C545:I545"/>
    <mergeCell ref="C463:I477"/>
    <mergeCell ref="C389:I394"/>
    <mergeCell ref="B308:B309"/>
    <mergeCell ref="C308:F308"/>
    <mergeCell ref="G308:G309"/>
    <mergeCell ref="B338:B339"/>
    <mergeCell ref="C338:F338"/>
    <mergeCell ref="G338:G339"/>
    <mergeCell ref="I338:I339"/>
    <mergeCell ref="C339:F339"/>
    <mergeCell ref="C321:I323"/>
    <mergeCell ref="C311:I320"/>
    <mergeCell ref="C325:I325"/>
    <mergeCell ref="C330:I330"/>
    <mergeCell ref="I308:I309"/>
    <mergeCell ref="C402:I405"/>
    <mergeCell ref="C381:I382"/>
    <mergeCell ref="B363:B364"/>
    <mergeCell ref="C363:F363"/>
    <mergeCell ref="G363:G364"/>
    <mergeCell ref="I363:I364"/>
    <mergeCell ref="C364:F364"/>
    <mergeCell ref="C366:I372"/>
    <mergeCell ref="C385:I385"/>
    <mergeCell ref="C207:D207"/>
    <mergeCell ref="C336:I336"/>
    <mergeCell ref="C244:I246"/>
    <mergeCell ref="C271:I273"/>
    <mergeCell ref="C217:I217"/>
    <mergeCell ref="C218:I218"/>
    <mergeCell ref="G222:H222"/>
    <mergeCell ref="G221:H221"/>
    <mergeCell ref="I221:I222"/>
    <mergeCell ref="C224:I234"/>
    <mergeCell ref="C304:I304"/>
    <mergeCell ref="C305:I305"/>
    <mergeCell ref="C306:I306"/>
    <mergeCell ref="C303:I303"/>
    <mergeCell ref="C678:I678"/>
    <mergeCell ref="C679:I679"/>
    <mergeCell ref="C680:I680"/>
    <mergeCell ref="C681:I681"/>
    <mergeCell ref="B419:B420"/>
    <mergeCell ref="C419:E419"/>
    <mergeCell ref="F419:F420"/>
    <mergeCell ref="G419:H419"/>
    <mergeCell ref="I419:I420"/>
    <mergeCell ref="C420:E420"/>
    <mergeCell ref="G420:H420"/>
    <mergeCell ref="B460:B461"/>
    <mergeCell ref="I460:I461"/>
    <mergeCell ref="C457:I457"/>
    <mergeCell ref="C458:I458"/>
    <mergeCell ref="C587:I587"/>
    <mergeCell ref="C588:I588"/>
    <mergeCell ref="C589:I589"/>
    <mergeCell ref="C569:I569"/>
    <mergeCell ref="C607:I607"/>
    <mergeCell ref="C592:I595"/>
    <mergeCell ref="C596:I599"/>
    <mergeCell ref="C600:I603"/>
    <mergeCell ref="C580:I582"/>
  </mergeCells>
  <pageMargins left="0.7" right="0.7" top="0.75" bottom="0.75" header="0.3" footer="0.3"/>
  <pageSetup paperSize="9" scale="65" fitToHeight="0" orientation="portrait" r:id="rId1"/>
  <rowBreaks count="11" manualBreakCount="11">
    <brk id="60" min="1" max="8" man="1"/>
    <brk id="119" min="1" max="8" man="1"/>
    <brk id="184" min="1" max="8" man="1"/>
    <brk id="246" min="1" max="8" man="1"/>
    <brk id="302" min="1" max="8" man="1"/>
    <brk id="357" min="1" max="8" man="1"/>
    <brk id="413" min="1" max="8" man="1"/>
    <brk id="454" min="1" max="8" man="1"/>
    <brk id="512" min="1" max="8" man="1"/>
    <brk id="565" min="1" max="8" man="1"/>
    <brk id="634" min="1" max="8"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BY542"/>
  <sheetViews>
    <sheetView view="pageBreakPreview" zoomScale="70" zoomScaleNormal="80" zoomScaleSheetLayoutView="70" workbookViewId="0">
      <selection activeCell="Q504" sqref="Q504:Q506"/>
    </sheetView>
  </sheetViews>
  <sheetFormatPr baseColWidth="10" defaultRowHeight="16.5" outlineLevelRow="1"/>
  <cols>
    <col min="1" max="1" width="11.140625" style="133" customWidth="1"/>
    <col min="2" max="6" width="11.42578125" style="133"/>
    <col min="7" max="7" width="6.7109375" style="133" customWidth="1"/>
    <col min="8" max="8" width="14.85546875" style="133" bestFit="1" customWidth="1"/>
    <col min="9" max="9" width="13.7109375" style="133" bestFit="1" customWidth="1"/>
    <col min="10" max="10" width="20" style="133" bestFit="1" customWidth="1"/>
    <col min="11" max="11" width="18" style="133" bestFit="1" customWidth="1"/>
    <col min="12" max="12" width="18" style="133" customWidth="1"/>
    <col min="13" max="13" width="14.85546875" style="133" hidden="1" customWidth="1"/>
    <col min="14" max="14" width="15.42578125" style="133" hidden="1" customWidth="1"/>
    <col min="15" max="16" width="14.85546875" style="133" hidden="1" customWidth="1"/>
    <col min="17" max="17" width="11.5703125" style="133" bestFit="1" customWidth="1"/>
    <col min="18" max="18" width="11.42578125" style="133" hidden="1" customWidth="1"/>
    <col min="19" max="22" width="12.28515625" style="133" bestFit="1" customWidth="1"/>
    <col min="23" max="23" width="13.42578125" style="133" bestFit="1" customWidth="1"/>
    <col min="24" max="24" width="12.28515625" style="133" bestFit="1" customWidth="1"/>
    <col min="25" max="25" width="12.28515625" style="133" customWidth="1"/>
    <col min="26" max="26" width="12.28515625" style="133" bestFit="1" customWidth="1"/>
    <col min="27" max="28" width="12.28515625" style="133" customWidth="1"/>
    <col min="29" max="29" width="11.42578125" style="133" customWidth="1"/>
    <col min="30" max="30" width="12.5703125" style="133" customWidth="1"/>
    <col min="31" max="31" width="13.7109375" style="133" customWidth="1"/>
    <col min="32" max="32" width="11.42578125" style="133" customWidth="1"/>
    <col min="33" max="33" width="13.7109375" style="133" customWidth="1"/>
    <col min="34" max="36" width="11.42578125" style="133" customWidth="1"/>
    <col min="37" max="37" width="14.85546875" style="133" customWidth="1"/>
    <col min="38" max="40" width="11.42578125" style="133" hidden="1" customWidth="1"/>
    <col min="41" max="41" width="12.5703125" style="133" hidden="1" customWidth="1"/>
    <col min="42" max="43" width="11.42578125" style="133" hidden="1" customWidth="1"/>
    <col min="44" max="77" width="0" style="133" hidden="1" customWidth="1"/>
    <col min="78" max="16384" width="11.42578125" style="133"/>
  </cols>
  <sheetData>
    <row r="1" spans="2:37" ht="17.25" thickBot="1"/>
    <row r="2" spans="2:37" ht="30" customHeight="1" thickBot="1">
      <c r="B2" s="2167" t="s">
        <v>831</v>
      </c>
      <c r="C2" s="2168"/>
      <c r="D2" s="2168"/>
      <c r="E2" s="2168"/>
      <c r="F2" s="2168"/>
      <c r="G2" s="2168"/>
      <c r="H2" s="2169"/>
      <c r="I2" s="397"/>
      <c r="J2" s="397"/>
      <c r="K2" s="397"/>
      <c r="L2" s="397"/>
      <c r="M2" s="397"/>
      <c r="N2" s="397"/>
      <c r="O2" s="397"/>
      <c r="P2" s="397"/>
      <c r="Q2" s="397"/>
      <c r="R2" s="397"/>
      <c r="S2" s="398"/>
      <c r="X2" s="399"/>
    </row>
    <row r="3" spans="2:37" ht="9.9499999999999993" customHeight="1">
      <c r="B3" s="397"/>
      <c r="C3" s="397"/>
      <c r="D3" s="397"/>
      <c r="E3" s="397"/>
      <c r="F3" s="397"/>
      <c r="G3" s="397"/>
      <c r="H3" s="397"/>
      <c r="I3" s="397"/>
      <c r="J3" s="397"/>
      <c r="K3" s="397"/>
      <c r="L3" s="397"/>
      <c r="M3" s="397"/>
      <c r="N3" s="397"/>
      <c r="O3" s="397"/>
      <c r="P3" s="397"/>
      <c r="Q3" s="397"/>
      <c r="R3" s="397"/>
    </row>
    <row r="4" spans="2:37" ht="16.5" customHeight="1">
      <c r="B4" s="1406" t="s">
        <v>814</v>
      </c>
      <c r="C4" s="1407"/>
      <c r="D4" s="1407"/>
      <c r="E4" s="1407"/>
      <c r="F4" s="1407"/>
      <c r="G4" s="1407"/>
      <c r="H4" s="1407"/>
      <c r="I4" s="1407"/>
      <c r="J4" s="1407"/>
      <c r="K4" s="400"/>
      <c r="L4" s="740"/>
      <c r="M4" s="397"/>
      <c r="N4" s="397"/>
      <c r="O4" s="397"/>
      <c r="P4" s="397"/>
      <c r="Q4" s="397"/>
      <c r="R4" s="397"/>
    </row>
    <row r="5" spans="2:37" ht="16.5" customHeight="1">
      <c r="B5" s="1409"/>
      <c r="C5" s="1410"/>
      <c r="D5" s="1410"/>
      <c r="E5" s="1410"/>
      <c r="F5" s="1410"/>
      <c r="G5" s="1410"/>
      <c r="H5" s="1410"/>
      <c r="I5" s="1410"/>
      <c r="J5" s="1410"/>
      <c r="K5" s="400"/>
      <c r="L5" s="740"/>
      <c r="M5" s="397"/>
      <c r="N5" s="397"/>
      <c r="O5" s="397"/>
      <c r="P5" s="397"/>
      <c r="Q5" s="397"/>
      <c r="R5" s="397"/>
    </row>
    <row r="6" spans="2:37" ht="16.5" customHeight="1">
      <c r="B6" s="1409"/>
      <c r="C6" s="1410"/>
      <c r="D6" s="1410"/>
      <c r="E6" s="1410"/>
      <c r="F6" s="1410"/>
      <c r="G6" s="1410"/>
      <c r="H6" s="1410"/>
      <c r="I6" s="1410"/>
      <c r="J6" s="1410"/>
      <c r="K6" s="400"/>
      <c r="L6" s="740"/>
      <c r="M6" s="397"/>
      <c r="N6" s="397"/>
      <c r="O6" s="397"/>
      <c r="P6" s="397"/>
      <c r="Q6" s="397"/>
      <c r="R6" s="397"/>
    </row>
    <row r="7" spans="2:37" ht="16.5" customHeight="1">
      <c r="B7" s="1409"/>
      <c r="C7" s="1410"/>
      <c r="D7" s="1410"/>
      <c r="E7" s="1410"/>
      <c r="F7" s="1410"/>
      <c r="G7" s="1410"/>
      <c r="H7" s="1410"/>
      <c r="I7" s="1410"/>
      <c r="J7" s="1410"/>
      <c r="K7" s="400"/>
      <c r="L7" s="740"/>
      <c r="M7" s="397"/>
      <c r="N7" s="397"/>
      <c r="O7" s="397"/>
      <c r="P7" s="397"/>
      <c r="Q7" s="397"/>
      <c r="R7" s="397"/>
    </row>
    <row r="8" spans="2:37" ht="16.5" customHeight="1">
      <c r="B8" s="1409"/>
      <c r="C8" s="1410"/>
      <c r="D8" s="1410"/>
      <c r="E8" s="1410"/>
      <c r="F8" s="1410"/>
      <c r="G8" s="1410"/>
      <c r="H8" s="1410"/>
      <c r="I8" s="1410"/>
      <c r="J8" s="1410"/>
      <c r="K8" s="400"/>
      <c r="L8" s="740"/>
      <c r="M8" s="397"/>
      <c r="N8" s="397"/>
      <c r="O8" s="397"/>
      <c r="P8" s="397"/>
      <c r="Q8" s="397"/>
      <c r="R8" s="397"/>
    </row>
    <row r="9" spans="2:37" ht="16.5" customHeight="1">
      <c r="B9" s="1409"/>
      <c r="C9" s="1410"/>
      <c r="D9" s="1410"/>
      <c r="E9" s="1410"/>
      <c r="F9" s="1410"/>
      <c r="G9" s="1410"/>
      <c r="H9" s="1410"/>
      <c r="I9" s="1410"/>
      <c r="J9" s="1410"/>
      <c r="K9" s="400"/>
      <c r="L9" s="1048"/>
      <c r="M9" s="397"/>
      <c r="N9" s="397"/>
      <c r="O9" s="397"/>
      <c r="P9" s="397"/>
      <c r="Q9" s="397"/>
      <c r="R9" s="397"/>
      <c r="S9" s="120"/>
      <c r="T9" s="120"/>
      <c r="U9" s="120"/>
      <c r="V9" s="120"/>
      <c r="W9" s="120"/>
      <c r="X9" s="120"/>
      <c r="Y9" s="120"/>
      <c r="Z9" s="120"/>
      <c r="AA9" s="120"/>
      <c r="AB9" s="120"/>
    </row>
    <row r="10" spans="2:37" ht="16.5" customHeight="1">
      <c r="B10" s="1409"/>
      <c r="C10" s="1410"/>
      <c r="D10" s="1410"/>
      <c r="E10" s="1410"/>
      <c r="F10" s="1410"/>
      <c r="G10" s="1410"/>
      <c r="H10" s="1410"/>
      <c r="I10" s="1410"/>
      <c r="J10" s="1410"/>
      <c r="K10" s="400"/>
      <c r="L10" s="740"/>
      <c r="M10" s="397"/>
      <c r="N10" s="397"/>
      <c r="O10" s="397"/>
      <c r="P10" s="397"/>
      <c r="Q10" s="397"/>
      <c r="R10" s="397"/>
      <c r="S10" s="120"/>
      <c r="T10" s="120"/>
      <c r="U10" s="120"/>
      <c r="V10" s="120"/>
      <c r="W10" s="120"/>
      <c r="X10" s="120"/>
      <c r="Y10" s="120"/>
      <c r="Z10" s="120"/>
      <c r="AA10" s="120"/>
      <c r="AB10" s="120"/>
    </row>
    <row r="11" spans="2:37" ht="39.75" customHeight="1">
      <c r="B11" s="1412"/>
      <c r="C11" s="1413"/>
      <c r="D11" s="1413"/>
      <c r="E11" s="1413"/>
      <c r="F11" s="1413"/>
      <c r="G11" s="1413"/>
      <c r="H11" s="1413"/>
      <c r="I11" s="1413"/>
      <c r="J11" s="1413"/>
      <c r="K11" s="400"/>
      <c r="L11" s="1047"/>
      <c r="M11" s="397"/>
      <c r="N11" s="397"/>
      <c r="O11" s="397"/>
      <c r="P11" s="397"/>
      <c r="Q11" s="397"/>
      <c r="R11" s="397"/>
      <c r="S11" s="120"/>
      <c r="T11" s="120"/>
      <c r="U11" s="120"/>
      <c r="V11" s="120"/>
      <c r="W11" s="120"/>
      <c r="X11" s="120"/>
      <c r="Y11" s="120"/>
      <c r="Z11" s="120"/>
      <c r="AA11" s="120"/>
      <c r="AB11" s="120"/>
    </row>
    <row r="12" spans="2:37" ht="16.5" customHeight="1">
      <c r="B12" s="397"/>
      <c r="C12" s="397"/>
      <c r="D12" s="397"/>
      <c r="E12" s="397"/>
      <c r="F12" s="397"/>
      <c r="G12" s="397"/>
      <c r="H12" s="397"/>
      <c r="I12" s="397"/>
      <c r="J12" s="397"/>
      <c r="K12" s="397"/>
      <c r="L12" s="120"/>
      <c r="M12" s="397"/>
      <c r="N12" s="397"/>
      <c r="O12" s="397"/>
      <c r="P12" s="397"/>
      <c r="Q12" s="397"/>
      <c r="R12" s="397"/>
      <c r="S12" s="120"/>
      <c r="T12" s="120"/>
      <c r="U12" s="120"/>
      <c r="V12" s="120"/>
      <c r="W12" s="120"/>
      <c r="X12" s="120"/>
      <c r="Y12" s="120"/>
      <c r="Z12" s="120"/>
      <c r="AA12" s="120"/>
      <c r="AB12" s="120"/>
      <c r="AI12" s="1778" t="s">
        <v>517</v>
      </c>
      <c r="AJ12" s="1778"/>
      <c r="AK12" s="1778"/>
    </row>
    <row r="13" spans="2:37" ht="20.25" customHeight="1">
      <c r="B13" s="2170" t="s">
        <v>924</v>
      </c>
      <c r="C13" s="2170"/>
      <c r="D13" s="2170"/>
      <c r="E13" s="2171"/>
      <c r="F13" s="2171"/>
      <c r="G13" s="2171"/>
      <c r="H13" s="2171"/>
      <c r="I13" s="401"/>
      <c r="J13" s="401"/>
      <c r="K13" s="401"/>
      <c r="L13" s="401"/>
      <c r="M13" s="401"/>
      <c r="N13" s="401"/>
      <c r="O13" s="401"/>
      <c r="P13" s="401"/>
      <c r="Q13" s="401"/>
      <c r="R13" s="397"/>
      <c r="S13" s="398"/>
      <c r="AD13" s="927" t="s">
        <v>830</v>
      </c>
      <c r="AI13" s="1778"/>
      <c r="AJ13" s="1778"/>
      <c r="AK13" s="1778"/>
    </row>
    <row r="14" spans="2:37" ht="15" customHeight="1">
      <c r="B14" s="1841" t="s">
        <v>271</v>
      </c>
      <c r="C14" s="1841"/>
      <c r="D14" s="1841" t="s">
        <v>272</v>
      </c>
      <c r="E14" s="1841"/>
      <c r="F14" s="1841"/>
      <c r="G14" s="1841"/>
      <c r="H14" s="1841" t="s">
        <v>273</v>
      </c>
      <c r="I14" s="1837" t="s">
        <v>362</v>
      </c>
      <c r="J14" s="1840" t="s">
        <v>274</v>
      </c>
      <c r="K14" s="1795" t="s">
        <v>308</v>
      </c>
      <c r="L14" s="1795" t="s">
        <v>761</v>
      </c>
      <c r="M14" s="1766" t="s">
        <v>360</v>
      </c>
      <c r="N14" s="1766" t="s">
        <v>363</v>
      </c>
      <c r="O14" s="1766" t="s">
        <v>361</v>
      </c>
      <c r="P14" s="1766" t="s">
        <v>364</v>
      </c>
      <c r="Q14" s="1851" t="s">
        <v>690</v>
      </c>
      <c r="R14" s="1848"/>
      <c r="S14" s="1754" t="s">
        <v>307</v>
      </c>
      <c r="T14" s="1755"/>
      <c r="U14" s="1755"/>
      <c r="V14" s="1755"/>
      <c r="W14" s="1755"/>
      <c r="X14" s="1755"/>
      <c r="Y14" s="1755"/>
      <c r="Z14" s="1755"/>
      <c r="AA14" s="1755"/>
      <c r="AB14" s="1756"/>
      <c r="AD14" s="1194" t="s">
        <v>321</v>
      </c>
      <c r="AE14" s="928" t="s">
        <v>322</v>
      </c>
      <c r="AF14" s="929" t="s">
        <v>258</v>
      </c>
      <c r="AG14" s="930" t="s">
        <v>322</v>
      </c>
      <c r="AI14" s="1779" t="s">
        <v>289</v>
      </c>
      <c r="AJ14" s="1779"/>
      <c r="AK14" s="931">
        <f ca="1">SUMIF($D$17:$AC$500,$AI$3,$AC$17:$AC$500)+SUMIF($D$507:$AB$522,$AI$3,$AC$507:$AD$522)</f>
        <v>0</v>
      </c>
    </row>
    <row r="15" spans="2:37" ht="15" customHeight="1">
      <c r="B15" s="1841"/>
      <c r="C15" s="1841"/>
      <c r="D15" s="1841"/>
      <c r="E15" s="1841"/>
      <c r="F15" s="1841"/>
      <c r="G15" s="1841"/>
      <c r="H15" s="1841"/>
      <c r="I15" s="1838"/>
      <c r="J15" s="1840"/>
      <c r="K15" s="1796"/>
      <c r="L15" s="1796"/>
      <c r="M15" s="1767"/>
      <c r="N15" s="1767"/>
      <c r="O15" s="1767"/>
      <c r="P15" s="1767"/>
      <c r="Q15" s="1851"/>
      <c r="R15" s="1849"/>
      <c r="S15" s="1049">
        <f>'Bilan financier'!E17</f>
        <v>2019</v>
      </c>
      <c r="T15" s="1049">
        <f>S15+1</f>
        <v>2020</v>
      </c>
      <c r="U15" s="1049">
        <f>S15+2</f>
        <v>2021</v>
      </c>
      <c r="V15" s="1049">
        <f>S15+3</f>
        <v>2022</v>
      </c>
      <c r="W15" s="1049">
        <f>S15+4</f>
        <v>2023</v>
      </c>
      <c r="X15" s="1049">
        <f>S15+5</f>
        <v>2024</v>
      </c>
      <c r="Y15" s="1049">
        <f>S15+6</f>
        <v>2025</v>
      </c>
      <c r="Z15" s="1049">
        <f>S15+7</f>
        <v>2026</v>
      </c>
      <c r="AA15" s="1049">
        <f>S15+8</f>
        <v>2027</v>
      </c>
      <c r="AB15" s="1049">
        <f>S15+9</f>
        <v>2028</v>
      </c>
      <c r="AC15" s="1785"/>
      <c r="AD15" s="932" t="s">
        <v>309</v>
      </c>
      <c r="AE15" s="933">
        <v>12</v>
      </c>
      <c r="AF15" s="932">
        <v>2015</v>
      </c>
      <c r="AG15" s="933">
        <v>1</v>
      </c>
      <c r="AI15" s="1779" t="s">
        <v>519</v>
      </c>
      <c r="AJ15" s="1779"/>
      <c r="AK15" s="931">
        <f ca="1">SUMIF($D$17:$AC$500,$AI$4,$AC$17:$AC$500)+SUMIF($D$507:$AB$522,$AI$4,$AC$507:$AD$522)</f>
        <v>0</v>
      </c>
    </row>
    <row r="16" spans="2:37" ht="30" customHeight="1">
      <c r="B16" s="1841"/>
      <c r="C16" s="1841"/>
      <c r="D16" s="1841"/>
      <c r="E16" s="1841"/>
      <c r="F16" s="1841"/>
      <c r="G16" s="1841"/>
      <c r="H16" s="1841"/>
      <c r="I16" s="1839"/>
      <c r="J16" s="1840"/>
      <c r="K16" s="1797"/>
      <c r="L16" s="1797"/>
      <c r="M16" s="1768"/>
      <c r="N16" s="1768"/>
      <c r="O16" s="1768"/>
      <c r="P16" s="1768"/>
      <c r="Q16" s="1851"/>
      <c r="R16" s="1850"/>
      <c r="S16" s="912"/>
      <c r="T16" s="912"/>
      <c r="U16" s="912"/>
      <c r="V16" s="912"/>
      <c r="W16" s="912"/>
      <c r="X16" s="912"/>
      <c r="Y16" s="912"/>
      <c r="Z16" s="912"/>
      <c r="AA16" s="912"/>
      <c r="AB16" s="912"/>
      <c r="AC16" s="1785"/>
      <c r="AD16" s="932" t="s">
        <v>310</v>
      </c>
      <c r="AE16" s="933">
        <v>11</v>
      </c>
      <c r="AF16" s="932">
        <v>2016</v>
      </c>
      <c r="AG16" s="933">
        <v>2</v>
      </c>
      <c r="AI16" s="1779" t="s">
        <v>518</v>
      </c>
      <c r="AJ16" s="1779"/>
      <c r="AK16" s="931">
        <f ca="1">SUMIF($D$17:$AC$500,$AI$5,$AC$17:$AC$500)+SUMIF($D$507:$AB$522,$AI$5,$AC$507:$AD$522)</f>
        <v>0</v>
      </c>
    </row>
    <row r="17" spans="2:37" s="121" customFormat="1" ht="16.5" customHeight="1">
      <c r="B17" s="1823"/>
      <c r="C17" s="1805"/>
      <c r="D17" s="1826" t="s">
        <v>290</v>
      </c>
      <c r="E17" s="1827"/>
      <c r="F17" s="1827"/>
      <c r="G17" s="1828"/>
      <c r="H17" s="830"/>
      <c r="I17" s="1326" t="e">
        <f t="shared" ref="I17:I500" si="0">H17*(1/Q17)</f>
        <v>#DIV/0!</v>
      </c>
      <c r="J17" s="390" t="s">
        <v>365</v>
      </c>
      <c r="K17" s="390" t="s">
        <v>365</v>
      </c>
      <c r="L17" s="1329" t="str">
        <f t="shared" ref="L17:L48" si="1">IF(D17="Bâtiments avec mise en service N+1",J17+1,J17)</f>
        <v>Non renseigné</v>
      </c>
      <c r="M17" s="1166" t="str">
        <f>VLOOKUP(K17,$AD$14:$AE$27,2,FALSE)</f>
        <v>-</v>
      </c>
      <c r="N17" s="391" t="e">
        <f>H17*(M17/12)*(1/Q17)</f>
        <v>#VALUE!</v>
      </c>
      <c r="O17" s="1166" t="e">
        <f>12-M17</f>
        <v>#VALUE!</v>
      </c>
      <c r="P17" s="391" t="e">
        <f>H17*(O17/12)*(1/Q17)</f>
        <v>#VALUE!</v>
      </c>
      <c r="Q17" s="392"/>
      <c r="R17" s="934"/>
      <c r="S17" s="402" t="e">
        <f t="shared" ref="S17:S48" si="2">IF($D17="Bâtiments avec mise en service N+1",IF($S$15=$L17,$N17,IF(AND($S$15&gt;$L17,$S$15&lt;$L17+$Q17),$I17,IF($S$15&lt;$L17,"",IF($S$15&gt;$L17+$Q17,"",$P17)))),IF($S$15=$J17,$N17,IF(AND($S$15&gt;$J17,$S$15&lt;$J17+$Q17),$I17,IF($S$15&lt;$J17,"",IF($S$15&gt;$L17+$Q17,"",$P17)))))</f>
        <v>#VALUE!</v>
      </c>
      <c r="T17" s="402" t="e">
        <f t="shared" ref="T17:T48" si="3">IF($D17="Bâtiments avec mise en service N+1",IF($T$15=$L17,$N17,IF(AND($T$15&gt;$L17,$T$15&lt;$L17+$Q17),$I17,IF($T$15&lt;$L17,"",IF($T$15&gt;$L17+$Q17,"",$P17)))),IF($T$15=$J17,$N17,IF(AND($T$15&gt;$J17,$T$15&lt;$J17+$Q17),$I17,IF($T$15&lt;$J17,"",IF($T$15&gt;$L17+$Q17,"",$P17)))))</f>
        <v>#VALUE!</v>
      </c>
      <c r="U17" s="402" t="e">
        <f t="shared" ref="U17:U48" si="4">IF($D17="Bâtiments avec mise en service N+1",IF($U$15=$L17,$N17,IF(AND($U$15&gt;$L17,$U$15&lt;$L17+$Q17),$I17,IF($U$15&lt;$L17,"",IF($U$15&gt;$L17+$Q17,"",$P17)))),IF($U$15=$J17,$N17,IF(AND($U$15&gt;$J17,$U$15&lt;$J17+$Q17),$I17,IF($U$15&lt;$J17,"",IF($U$15&gt;$L17+$Q17,"",$P17)))))</f>
        <v>#VALUE!</v>
      </c>
      <c r="V17" s="402" t="e">
        <f t="shared" ref="V17:V48" si="5">IF($D17="Bâtiments avec mise en service N+1",IF($V$15=$L17,$N17,IF(AND($V$15&gt;$L17,$V$15&lt;$L17+$Q17),$I17,IF($V$15&lt;$L17,"",IF($V$15&gt;$L17+$Q17,"",$P17)))),IF($V$15=$J17,$N17,IF(AND($V$15&gt;$J17,$V$15&lt;$J17+$Q17),$I17,IF($V$15&lt;$J17,"",IF($V$15&gt;$L17+$Q17,"",$P17)))))</f>
        <v>#VALUE!</v>
      </c>
      <c r="W17" s="402" t="e">
        <f t="shared" ref="W17:W48" si="6">IF($D17="Bâtiments avec mise en service N+1",IF($W$15=$L17,$N17,IF(AND($W$15&gt;$L17,$W$15&lt;$L17+$Q17),$I17,IF($W$15&lt;$L17,"",IF($W$15&gt;$L17+$Q17,"",$P17)))),IF($W$15=$J17,$N17,IF(AND($W$15&gt;$J17,$W$15&lt;$J17+$Q17),$I17,IF($W$15&lt;$J17,"",IF($W$15&gt;$L17+$Q17,"",$P17)))))</f>
        <v>#VALUE!</v>
      </c>
      <c r="X17" s="402" t="e">
        <f t="shared" ref="X17:X48" si="7">IF($D17="Bâtiments avec mise en service N+1",IF($X$15=$L17,$N17,IF(AND($X$15&gt;$L17,$X$15&lt;$L17+$Q17),$I17,IF($X$15&lt;$L17,"",IF($X$15&gt;$L17+$Q17,"",$P17)))),IF($X$15=$J17,$N17,IF(AND($X$15&gt;$J17,$X$15&lt;$J17+$Q17),$I17,IF($X$15&lt;$J17,"",IF($X$15&gt;$L17+$Q17,"",$P17)))))</f>
        <v>#VALUE!</v>
      </c>
      <c r="Y17" s="402" t="e">
        <f t="shared" ref="Y17:Y48" si="8">IF($D17="Bâtiments avec mise en service N+1",IF($Y$15=$L17,$N17,IF(AND($Y$15&gt;$L17,$Y$15&lt;$L17+$Q17),$I17,IF($Y$15&lt;$L17,"",IF($Y$15&gt;$L17+$Q17,"",$P17)))),IF($Y$15=$J17,$N17,IF(AND($Y$15&gt;$J17,$Y$15&lt;$J17+$Q17),$I17,IF($Y$15&lt;$J17,"",IF($Y$15&gt;$L17+$Q17,"",$P17)))))</f>
        <v>#VALUE!</v>
      </c>
      <c r="Z17" s="402" t="e">
        <f t="shared" ref="Z17:Z48" si="9">IF($D17="Bâtiments avec mise en service N+1",IF($Z$15=$L17,$N17,IF(AND($Z$15&gt;$L17,$Z$15&lt;$L17+$Q17),$I17,IF($Z$15&lt;$L17,"",IF($Z$15&gt;$L17+$Q17,"",$P17)))),IF($Z$15=$J17,$N17,IF(AND($Z$15&gt;$J17,$Z$15&lt;$J17+$Q17),$I17,IF($Z$15&lt;$J17,"",IF($Z$15&gt;$L17+$Q17,"",$P17)))))</f>
        <v>#VALUE!</v>
      </c>
      <c r="AA17" s="402" t="e">
        <f t="shared" ref="AA17:AA48" si="10">IF($D17="Bâtiments avec mise en service N+1",IF($AA$15=$L17,$N17,IF(AND($AA$15&gt;$L17,$AA$15&lt;$L17+$Q17),$I17,IF($AA$15&lt;$L17,"",IF($AA$15&gt;$L17+$Q17,"",$P17)))),IF($AA$15=$J17,$N17,IF(AND($AA$15&gt;$J17,$AA$15&lt;$J17+$Q17),$I17,IF($AA$15&lt;$J17,"",IF($AA$15&gt;$L17+$Q17,"",$P17)))))</f>
        <v>#VALUE!</v>
      </c>
      <c r="AB17" s="669" t="e">
        <f t="shared" ref="AB17:AB48" si="11">IF($D17="Bâtiments avec mise en service N+1",IF($AB$15=$L17,$N17,IF(AND($AB$15&gt;$L17,$AB$15&lt;$L17+$Q17),$I17,IF($AB$15&lt;$L17,"",IF($AB$15&gt;$L17+$Q17,"",$P17)))),IF($AB$15=$J17,$N17,IF(AND($AB$15&gt;$J17,$AB$15&lt;$J17+$Q17),$I17,IF($AB$15&lt;$J17,"",IF($AB$15&gt;$L17+$Q17,"",$P17)))))</f>
        <v>#VALUE!</v>
      </c>
      <c r="AC17" s="403"/>
      <c r="AD17" s="932" t="s">
        <v>311</v>
      </c>
      <c r="AE17" s="933">
        <v>10</v>
      </c>
      <c r="AF17" s="932">
        <v>2017</v>
      </c>
      <c r="AG17" s="933">
        <v>3</v>
      </c>
      <c r="AI17" s="1779" t="s">
        <v>516</v>
      </c>
      <c r="AJ17" s="1779"/>
      <c r="AK17" s="931">
        <f ca="1">SUMIF($D$17:$AC$500,$AI$6,$AC$17:$AC$500)+SUMIF($D$507:$AB$522,$AI$6,$AC$507:$AD$522)</f>
        <v>0</v>
      </c>
    </row>
    <row r="18" spans="2:37" s="121" customFormat="1">
      <c r="B18" s="1822"/>
      <c r="C18" s="1794"/>
      <c r="D18" s="1826" t="s">
        <v>290</v>
      </c>
      <c r="E18" s="1827"/>
      <c r="F18" s="1827"/>
      <c r="G18" s="1828"/>
      <c r="H18" s="831"/>
      <c r="I18" s="1326" t="e">
        <f t="shared" si="0"/>
        <v>#DIV/0!</v>
      </c>
      <c r="J18" s="390" t="s">
        <v>365</v>
      </c>
      <c r="K18" s="390" t="s">
        <v>365</v>
      </c>
      <c r="L18" s="1329" t="str">
        <f t="shared" si="1"/>
        <v>Non renseigné</v>
      </c>
      <c r="M18" s="1166" t="str">
        <f t="shared" ref="M18:M500" si="12">VLOOKUP(K18,$AD$14:$AE$27,2,FALSE)</f>
        <v>-</v>
      </c>
      <c r="N18" s="391" t="e">
        <f t="shared" ref="N18:N500" si="13">H18*(M18/12)*(1/Q18)</f>
        <v>#VALUE!</v>
      </c>
      <c r="O18" s="1166" t="e">
        <f t="shared" ref="O18:O500" si="14">12-M18</f>
        <v>#VALUE!</v>
      </c>
      <c r="P18" s="391" t="e">
        <f t="shared" ref="P18:P500" si="15">H18*(O18/12)*(1/Q18)</f>
        <v>#VALUE!</v>
      </c>
      <c r="Q18" s="393"/>
      <c r="R18" s="935"/>
      <c r="S18" s="402" t="e">
        <f t="shared" si="2"/>
        <v>#VALUE!</v>
      </c>
      <c r="T18" s="402" t="e">
        <f t="shared" si="3"/>
        <v>#VALUE!</v>
      </c>
      <c r="U18" s="402" t="e">
        <f t="shared" si="4"/>
        <v>#VALUE!</v>
      </c>
      <c r="V18" s="402" t="e">
        <f t="shared" si="5"/>
        <v>#VALUE!</v>
      </c>
      <c r="W18" s="402" t="e">
        <f t="shared" si="6"/>
        <v>#VALUE!</v>
      </c>
      <c r="X18" s="402" t="e">
        <f t="shared" si="7"/>
        <v>#VALUE!</v>
      </c>
      <c r="Y18" s="402" t="e">
        <f t="shared" si="8"/>
        <v>#VALUE!</v>
      </c>
      <c r="Z18" s="402" t="e">
        <f t="shared" si="9"/>
        <v>#VALUE!</v>
      </c>
      <c r="AA18" s="402" t="e">
        <f t="shared" si="10"/>
        <v>#VALUE!</v>
      </c>
      <c r="AB18" s="669" t="e">
        <f t="shared" si="11"/>
        <v>#VALUE!</v>
      </c>
      <c r="AC18" s="403"/>
      <c r="AD18" s="932" t="s">
        <v>312</v>
      </c>
      <c r="AE18" s="933">
        <v>9</v>
      </c>
      <c r="AF18" s="932">
        <v>2018</v>
      </c>
      <c r="AG18" s="933">
        <v>4</v>
      </c>
    </row>
    <row r="19" spans="2:37" s="121" customFormat="1">
      <c r="B19" s="1822"/>
      <c r="C19" s="1794"/>
      <c r="D19" s="1826" t="s">
        <v>290</v>
      </c>
      <c r="E19" s="1827"/>
      <c r="F19" s="1827"/>
      <c r="G19" s="1828"/>
      <c r="H19" s="831"/>
      <c r="I19" s="1326" t="e">
        <f t="shared" si="0"/>
        <v>#DIV/0!</v>
      </c>
      <c r="J19" s="390" t="s">
        <v>365</v>
      </c>
      <c r="K19" s="390" t="s">
        <v>365</v>
      </c>
      <c r="L19" s="1329" t="str">
        <f t="shared" si="1"/>
        <v>Non renseigné</v>
      </c>
      <c r="M19" s="1166" t="str">
        <f t="shared" si="12"/>
        <v>-</v>
      </c>
      <c r="N19" s="391" t="e">
        <f t="shared" si="13"/>
        <v>#VALUE!</v>
      </c>
      <c r="O19" s="1166" t="e">
        <f t="shared" si="14"/>
        <v>#VALUE!</v>
      </c>
      <c r="P19" s="391" t="e">
        <f t="shared" si="15"/>
        <v>#VALUE!</v>
      </c>
      <c r="Q19" s="393"/>
      <c r="R19" s="935"/>
      <c r="S19" s="402" t="e">
        <f t="shared" si="2"/>
        <v>#VALUE!</v>
      </c>
      <c r="T19" s="402" t="e">
        <f t="shared" si="3"/>
        <v>#VALUE!</v>
      </c>
      <c r="U19" s="402" t="e">
        <f t="shared" si="4"/>
        <v>#VALUE!</v>
      </c>
      <c r="V19" s="402" t="e">
        <f t="shared" si="5"/>
        <v>#VALUE!</v>
      </c>
      <c r="W19" s="402" t="e">
        <f t="shared" si="6"/>
        <v>#VALUE!</v>
      </c>
      <c r="X19" s="402" t="e">
        <f t="shared" si="7"/>
        <v>#VALUE!</v>
      </c>
      <c r="Y19" s="402" t="e">
        <f t="shared" si="8"/>
        <v>#VALUE!</v>
      </c>
      <c r="Z19" s="402" t="e">
        <f t="shared" si="9"/>
        <v>#VALUE!</v>
      </c>
      <c r="AA19" s="402" t="e">
        <f t="shared" si="10"/>
        <v>#VALUE!</v>
      </c>
      <c r="AB19" s="669" t="e">
        <f t="shared" si="11"/>
        <v>#VALUE!</v>
      </c>
      <c r="AC19" s="403"/>
      <c r="AD19" s="932" t="s">
        <v>313</v>
      </c>
      <c r="AE19" s="933">
        <v>8</v>
      </c>
      <c r="AF19" s="932">
        <v>2019</v>
      </c>
      <c r="AG19" s="933">
        <v>5</v>
      </c>
    </row>
    <row r="20" spans="2:37" s="121" customFormat="1">
      <c r="B20" s="1822"/>
      <c r="C20" s="1794"/>
      <c r="D20" s="1826" t="s">
        <v>290</v>
      </c>
      <c r="E20" s="1827"/>
      <c r="F20" s="1827"/>
      <c r="G20" s="1828"/>
      <c r="H20" s="831"/>
      <c r="I20" s="1326" t="e">
        <f t="shared" si="0"/>
        <v>#DIV/0!</v>
      </c>
      <c r="J20" s="390" t="s">
        <v>365</v>
      </c>
      <c r="K20" s="390" t="s">
        <v>365</v>
      </c>
      <c r="L20" s="1329" t="str">
        <f t="shared" si="1"/>
        <v>Non renseigné</v>
      </c>
      <c r="M20" s="1166" t="str">
        <f t="shared" si="12"/>
        <v>-</v>
      </c>
      <c r="N20" s="391" t="e">
        <f t="shared" si="13"/>
        <v>#VALUE!</v>
      </c>
      <c r="O20" s="1166" t="e">
        <f t="shared" si="14"/>
        <v>#VALUE!</v>
      </c>
      <c r="P20" s="391" t="e">
        <f t="shared" si="15"/>
        <v>#VALUE!</v>
      </c>
      <c r="Q20" s="393"/>
      <c r="R20" s="935"/>
      <c r="S20" s="402" t="e">
        <f t="shared" si="2"/>
        <v>#VALUE!</v>
      </c>
      <c r="T20" s="402" t="e">
        <f t="shared" si="3"/>
        <v>#VALUE!</v>
      </c>
      <c r="U20" s="402" t="e">
        <f t="shared" si="4"/>
        <v>#VALUE!</v>
      </c>
      <c r="V20" s="402" t="e">
        <f t="shared" si="5"/>
        <v>#VALUE!</v>
      </c>
      <c r="W20" s="402" t="e">
        <f t="shared" si="6"/>
        <v>#VALUE!</v>
      </c>
      <c r="X20" s="402" t="e">
        <f t="shared" si="7"/>
        <v>#VALUE!</v>
      </c>
      <c r="Y20" s="402" t="e">
        <f t="shared" si="8"/>
        <v>#VALUE!</v>
      </c>
      <c r="Z20" s="402" t="e">
        <f t="shared" si="9"/>
        <v>#VALUE!</v>
      </c>
      <c r="AA20" s="402" t="e">
        <f t="shared" si="10"/>
        <v>#VALUE!</v>
      </c>
      <c r="AB20" s="669" t="e">
        <f t="shared" si="11"/>
        <v>#VALUE!</v>
      </c>
      <c r="AC20" s="403"/>
      <c r="AD20" s="932" t="s">
        <v>314</v>
      </c>
      <c r="AE20" s="933">
        <v>7</v>
      </c>
      <c r="AF20" s="932">
        <v>2020</v>
      </c>
      <c r="AG20" s="933">
        <v>6</v>
      </c>
    </row>
    <row r="21" spans="2:37" s="121" customFormat="1">
      <c r="B21" s="1822"/>
      <c r="C21" s="1794"/>
      <c r="D21" s="1826" t="s">
        <v>290</v>
      </c>
      <c r="E21" s="1827"/>
      <c r="F21" s="1827"/>
      <c r="G21" s="1828"/>
      <c r="H21" s="831"/>
      <c r="I21" s="1326" t="e">
        <f t="shared" si="0"/>
        <v>#DIV/0!</v>
      </c>
      <c r="J21" s="390" t="s">
        <v>365</v>
      </c>
      <c r="K21" s="390" t="s">
        <v>365</v>
      </c>
      <c r="L21" s="1329" t="str">
        <f t="shared" si="1"/>
        <v>Non renseigné</v>
      </c>
      <c r="M21" s="1166" t="str">
        <f t="shared" si="12"/>
        <v>-</v>
      </c>
      <c r="N21" s="391" t="e">
        <f t="shared" si="13"/>
        <v>#VALUE!</v>
      </c>
      <c r="O21" s="1166" t="e">
        <f t="shared" si="14"/>
        <v>#VALUE!</v>
      </c>
      <c r="P21" s="391" t="e">
        <f t="shared" si="15"/>
        <v>#VALUE!</v>
      </c>
      <c r="Q21" s="393"/>
      <c r="R21" s="935"/>
      <c r="S21" s="402" t="e">
        <f t="shared" si="2"/>
        <v>#VALUE!</v>
      </c>
      <c r="T21" s="402" t="e">
        <f t="shared" si="3"/>
        <v>#VALUE!</v>
      </c>
      <c r="U21" s="402" t="e">
        <f t="shared" si="4"/>
        <v>#VALUE!</v>
      </c>
      <c r="V21" s="402" t="e">
        <f t="shared" si="5"/>
        <v>#VALUE!</v>
      </c>
      <c r="W21" s="402" t="e">
        <f t="shared" si="6"/>
        <v>#VALUE!</v>
      </c>
      <c r="X21" s="402" t="e">
        <f t="shared" si="7"/>
        <v>#VALUE!</v>
      </c>
      <c r="Y21" s="402" t="e">
        <f t="shared" si="8"/>
        <v>#VALUE!</v>
      </c>
      <c r="Z21" s="402" t="e">
        <f t="shared" si="9"/>
        <v>#VALUE!</v>
      </c>
      <c r="AA21" s="402" t="e">
        <f t="shared" si="10"/>
        <v>#VALUE!</v>
      </c>
      <c r="AB21" s="669" t="e">
        <f t="shared" si="11"/>
        <v>#VALUE!</v>
      </c>
      <c r="AC21" s="403"/>
      <c r="AD21" s="932" t="s">
        <v>315</v>
      </c>
      <c r="AE21" s="933">
        <v>6</v>
      </c>
      <c r="AF21" s="932">
        <v>2021</v>
      </c>
      <c r="AG21" s="933">
        <v>7</v>
      </c>
    </row>
    <row r="22" spans="2:37" s="121" customFormat="1">
      <c r="B22" s="1822"/>
      <c r="C22" s="1794"/>
      <c r="D22" s="1826" t="s">
        <v>290</v>
      </c>
      <c r="E22" s="1827"/>
      <c r="F22" s="1827"/>
      <c r="G22" s="1828"/>
      <c r="H22" s="831"/>
      <c r="I22" s="1326" t="e">
        <f t="shared" si="0"/>
        <v>#DIV/0!</v>
      </c>
      <c r="J22" s="390" t="s">
        <v>365</v>
      </c>
      <c r="K22" s="390" t="s">
        <v>365</v>
      </c>
      <c r="L22" s="1329" t="str">
        <f t="shared" si="1"/>
        <v>Non renseigné</v>
      </c>
      <c r="M22" s="1166" t="str">
        <f t="shared" si="12"/>
        <v>-</v>
      </c>
      <c r="N22" s="391" t="e">
        <f t="shared" si="13"/>
        <v>#VALUE!</v>
      </c>
      <c r="O22" s="1166" t="e">
        <f t="shared" si="14"/>
        <v>#VALUE!</v>
      </c>
      <c r="P22" s="391" t="e">
        <f t="shared" si="15"/>
        <v>#VALUE!</v>
      </c>
      <c r="Q22" s="393"/>
      <c r="R22" s="935"/>
      <c r="S22" s="402" t="e">
        <f t="shared" si="2"/>
        <v>#VALUE!</v>
      </c>
      <c r="T22" s="402" t="e">
        <f t="shared" si="3"/>
        <v>#VALUE!</v>
      </c>
      <c r="U22" s="402" t="e">
        <f t="shared" si="4"/>
        <v>#VALUE!</v>
      </c>
      <c r="V22" s="402" t="e">
        <f t="shared" si="5"/>
        <v>#VALUE!</v>
      </c>
      <c r="W22" s="402" t="e">
        <f t="shared" si="6"/>
        <v>#VALUE!</v>
      </c>
      <c r="X22" s="402" t="e">
        <f t="shared" si="7"/>
        <v>#VALUE!</v>
      </c>
      <c r="Y22" s="402" t="e">
        <f t="shared" si="8"/>
        <v>#VALUE!</v>
      </c>
      <c r="Z22" s="402" t="e">
        <f t="shared" si="9"/>
        <v>#VALUE!</v>
      </c>
      <c r="AA22" s="402" t="e">
        <f t="shared" si="10"/>
        <v>#VALUE!</v>
      </c>
      <c r="AB22" s="669" t="e">
        <f t="shared" si="11"/>
        <v>#VALUE!</v>
      </c>
      <c r="AC22" s="403"/>
      <c r="AD22" s="932" t="s">
        <v>316</v>
      </c>
      <c r="AE22" s="933">
        <v>5</v>
      </c>
      <c r="AF22" s="932">
        <v>2022</v>
      </c>
      <c r="AG22" s="933">
        <v>8</v>
      </c>
    </row>
    <row r="23" spans="2:37" s="121" customFormat="1">
      <c r="B23" s="1822"/>
      <c r="C23" s="1794"/>
      <c r="D23" s="1826" t="s">
        <v>290</v>
      </c>
      <c r="E23" s="1827"/>
      <c r="F23" s="1827"/>
      <c r="G23" s="1828"/>
      <c r="H23" s="831"/>
      <c r="I23" s="1326" t="e">
        <f t="shared" si="0"/>
        <v>#DIV/0!</v>
      </c>
      <c r="J23" s="390" t="s">
        <v>365</v>
      </c>
      <c r="K23" s="390" t="s">
        <v>365</v>
      </c>
      <c r="L23" s="1329" t="str">
        <f t="shared" si="1"/>
        <v>Non renseigné</v>
      </c>
      <c r="M23" s="1166" t="str">
        <f t="shared" si="12"/>
        <v>-</v>
      </c>
      <c r="N23" s="391" t="e">
        <f t="shared" si="13"/>
        <v>#VALUE!</v>
      </c>
      <c r="O23" s="1166" t="e">
        <f t="shared" si="14"/>
        <v>#VALUE!</v>
      </c>
      <c r="P23" s="391" t="e">
        <f t="shared" si="15"/>
        <v>#VALUE!</v>
      </c>
      <c r="Q23" s="393"/>
      <c r="R23" s="935"/>
      <c r="S23" s="402" t="e">
        <f t="shared" si="2"/>
        <v>#VALUE!</v>
      </c>
      <c r="T23" s="402" t="e">
        <f t="shared" si="3"/>
        <v>#VALUE!</v>
      </c>
      <c r="U23" s="402" t="e">
        <f t="shared" si="4"/>
        <v>#VALUE!</v>
      </c>
      <c r="V23" s="402" t="e">
        <f t="shared" si="5"/>
        <v>#VALUE!</v>
      </c>
      <c r="W23" s="402" t="e">
        <f t="shared" si="6"/>
        <v>#VALUE!</v>
      </c>
      <c r="X23" s="402" t="e">
        <f t="shared" si="7"/>
        <v>#VALUE!</v>
      </c>
      <c r="Y23" s="402" t="e">
        <f t="shared" si="8"/>
        <v>#VALUE!</v>
      </c>
      <c r="Z23" s="402" t="e">
        <f t="shared" si="9"/>
        <v>#VALUE!</v>
      </c>
      <c r="AA23" s="402" t="e">
        <f t="shared" si="10"/>
        <v>#VALUE!</v>
      </c>
      <c r="AB23" s="669" t="e">
        <f t="shared" si="11"/>
        <v>#VALUE!</v>
      </c>
      <c r="AC23" s="403"/>
      <c r="AD23" s="932" t="s">
        <v>317</v>
      </c>
      <c r="AE23" s="933">
        <v>4</v>
      </c>
      <c r="AF23" s="932">
        <v>2023</v>
      </c>
      <c r="AG23" s="933">
        <v>9</v>
      </c>
    </row>
    <row r="24" spans="2:37" s="121" customFormat="1">
      <c r="B24" s="1822"/>
      <c r="C24" s="1794"/>
      <c r="D24" s="1826" t="s">
        <v>290</v>
      </c>
      <c r="E24" s="1827"/>
      <c r="F24" s="1827"/>
      <c r="G24" s="1828"/>
      <c r="H24" s="831"/>
      <c r="I24" s="1326" t="e">
        <f t="shared" si="0"/>
        <v>#DIV/0!</v>
      </c>
      <c r="J24" s="390" t="s">
        <v>365</v>
      </c>
      <c r="K24" s="390" t="s">
        <v>365</v>
      </c>
      <c r="L24" s="1329" t="str">
        <f t="shared" si="1"/>
        <v>Non renseigné</v>
      </c>
      <c r="M24" s="1166" t="str">
        <f t="shared" si="12"/>
        <v>-</v>
      </c>
      <c r="N24" s="391" t="e">
        <f t="shared" si="13"/>
        <v>#VALUE!</v>
      </c>
      <c r="O24" s="1166" t="e">
        <f t="shared" si="14"/>
        <v>#VALUE!</v>
      </c>
      <c r="P24" s="391" t="e">
        <f t="shared" si="15"/>
        <v>#VALUE!</v>
      </c>
      <c r="Q24" s="393"/>
      <c r="R24" s="935"/>
      <c r="S24" s="402" t="e">
        <f t="shared" si="2"/>
        <v>#VALUE!</v>
      </c>
      <c r="T24" s="402" t="e">
        <f t="shared" si="3"/>
        <v>#VALUE!</v>
      </c>
      <c r="U24" s="402" t="e">
        <f t="shared" si="4"/>
        <v>#VALUE!</v>
      </c>
      <c r="V24" s="402" t="e">
        <f t="shared" si="5"/>
        <v>#VALUE!</v>
      </c>
      <c r="W24" s="402" t="e">
        <f t="shared" si="6"/>
        <v>#VALUE!</v>
      </c>
      <c r="X24" s="402" t="e">
        <f t="shared" si="7"/>
        <v>#VALUE!</v>
      </c>
      <c r="Y24" s="402" t="e">
        <f t="shared" si="8"/>
        <v>#VALUE!</v>
      </c>
      <c r="Z24" s="402" t="e">
        <f t="shared" si="9"/>
        <v>#VALUE!</v>
      </c>
      <c r="AA24" s="402" t="e">
        <f t="shared" si="10"/>
        <v>#VALUE!</v>
      </c>
      <c r="AB24" s="669" t="e">
        <f t="shared" si="11"/>
        <v>#VALUE!</v>
      </c>
      <c r="AC24" s="403"/>
      <c r="AD24" s="932" t="s">
        <v>318</v>
      </c>
      <c r="AE24" s="933">
        <v>3</v>
      </c>
      <c r="AF24" s="932">
        <v>2024</v>
      </c>
      <c r="AG24" s="933">
        <v>10</v>
      </c>
    </row>
    <row r="25" spans="2:37" s="121" customFormat="1">
      <c r="B25" s="1822"/>
      <c r="C25" s="1794"/>
      <c r="D25" s="1826" t="s">
        <v>290</v>
      </c>
      <c r="E25" s="1827"/>
      <c r="F25" s="1827"/>
      <c r="G25" s="1828"/>
      <c r="H25" s="832"/>
      <c r="I25" s="1326" t="e">
        <f t="shared" si="0"/>
        <v>#DIV/0!</v>
      </c>
      <c r="J25" s="390" t="s">
        <v>365</v>
      </c>
      <c r="K25" s="390" t="s">
        <v>365</v>
      </c>
      <c r="L25" s="1329" t="str">
        <f t="shared" si="1"/>
        <v>Non renseigné</v>
      </c>
      <c r="M25" s="1166" t="str">
        <f t="shared" si="12"/>
        <v>-</v>
      </c>
      <c r="N25" s="391" t="e">
        <f t="shared" si="13"/>
        <v>#VALUE!</v>
      </c>
      <c r="O25" s="1166" t="e">
        <f t="shared" si="14"/>
        <v>#VALUE!</v>
      </c>
      <c r="P25" s="391" t="e">
        <f t="shared" si="15"/>
        <v>#VALUE!</v>
      </c>
      <c r="Q25" s="393"/>
      <c r="R25" s="935"/>
      <c r="S25" s="402" t="e">
        <f t="shared" si="2"/>
        <v>#VALUE!</v>
      </c>
      <c r="T25" s="402" t="e">
        <f t="shared" si="3"/>
        <v>#VALUE!</v>
      </c>
      <c r="U25" s="402" t="e">
        <f t="shared" si="4"/>
        <v>#VALUE!</v>
      </c>
      <c r="V25" s="402" t="e">
        <f t="shared" si="5"/>
        <v>#VALUE!</v>
      </c>
      <c r="W25" s="402" t="e">
        <f t="shared" si="6"/>
        <v>#VALUE!</v>
      </c>
      <c r="X25" s="402" t="e">
        <f t="shared" si="7"/>
        <v>#VALUE!</v>
      </c>
      <c r="Y25" s="402" t="e">
        <f t="shared" si="8"/>
        <v>#VALUE!</v>
      </c>
      <c r="Z25" s="402" t="e">
        <f t="shared" si="9"/>
        <v>#VALUE!</v>
      </c>
      <c r="AA25" s="402" t="e">
        <f t="shared" si="10"/>
        <v>#VALUE!</v>
      </c>
      <c r="AB25" s="669" t="e">
        <f t="shared" si="11"/>
        <v>#VALUE!</v>
      </c>
      <c r="AC25" s="403"/>
      <c r="AD25" s="932" t="s">
        <v>319</v>
      </c>
      <c r="AE25" s="933">
        <v>2</v>
      </c>
      <c r="AF25" s="936" t="s">
        <v>365</v>
      </c>
      <c r="AG25" s="937" t="s">
        <v>366</v>
      </c>
    </row>
    <row r="26" spans="2:37" s="121" customFormat="1">
      <c r="B26" s="1822"/>
      <c r="C26" s="1794"/>
      <c r="D26" s="1826" t="s">
        <v>290</v>
      </c>
      <c r="E26" s="1827"/>
      <c r="F26" s="1827"/>
      <c r="G26" s="1828"/>
      <c r="H26" s="832"/>
      <c r="I26" s="1326" t="e">
        <f t="shared" si="0"/>
        <v>#DIV/0!</v>
      </c>
      <c r="J26" s="390" t="s">
        <v>365</v>
      </c>
      <c r="K26" s="390" t="s">
        <v>365</v>
      </c>
      <c r="L26" s="1329" t="str">
        <f t="shared" si="1"/>
        <v>Non renseigné</v>
      </c>
      <c r="M26" s="1166" t="str">
        <f t="shared" si="12"/>
        <v>-</v>
      </c>
      <c r="N26" s="391" t="e">
        <f t="shared" si="13"/>
        <v>#VALUE!</v>
      </c>
      <c r="O26" s="1166" t="e">
        <f t="shared" si="14"/>
        <v>#VALUE!</v>
      </c>
      <c r="P26" s="391" t="e">
        <f t="shared" si="15"/>
        <v>#VALUE!</v>
      </c>
      <c r="Q26" s="393"/>
      <c r="R26" s="935"/>
      <c r="S26" s="402" t="e">
        <f t="shared" si="2"/>
        <v>#VALUE!</v>
      </c>
      <c r="T26" s="402" t="e">
        <f t="shared" si="3"/>
        <v>#VALUE!</v>
      </c>
      <c r="U26" s="402" t="e">
        <f t="shared" si="4"/>
        <v>#VALUE!</v>
      </c>
      <c r="V26" s="402" t="e">
        <f t="shared" si="5"/>
        <v>#VALUE!</v>
      </c>
      <c r="W26" s="402" t="e">
        <f t="shared" si="6"/>
        <v>#VALUE!</v>
      </c>
      <c r="X26" s="402" t="e">
        <f t="shared" si="7"/>
        <v>#VALUE!</v>
      </c>
      <c r="Y26" s="402" t="e">
        <f t="shared" si="8"/>
        <v>#VALUE!</v>
      </c>
      <c r="Z26" s="402" t="e">
        <f t="shared" si="9"/>
        <v>#VALUE!</v>
      </c>
      <c r="AA26" s="402" t="e">
        <f t="shared" si="10"/>
        <v>#VALUE!</v>
      </c>
      <c r="AB26" s="669" t="e">
        <f t="shared" si="11"/>
        <v>#VALUE!</v>
      </c>
      <c r="AC26" s="403"/>
      <c r="AD26" s="932" t="s">
        <v>320</v>
      </c>
      <c r="AE26" s="933">
        <v>1</v>
      </c>
      <c r="AF26" s="1191"/>
      <c r="AG26" s="223"/>
    </row>
    <row r="27" spans="2:37" s="121" customFormat="1">
      <c r="B27" s="1822"/>
      <c r="C27" s="1794"/>
      <c r="D27" s="1826" t="s">
        <v>290</v>
      </c>
      <c r="E27" s="1827"/>
      <c r="F27" s="1827"/>
      <c r="G27" s="1828"/>
      <c r="H27" s="832"/>
      <c r="I27" s="1326" t="e">
        <f t="shared" si="0"/>
        <v>#DIV/0!</v>
      </c>
      <c r="J27" s="390" t="s">
        <v>365</v>
      </c>
      <c r="K27" s="390" t="s">
        <v>365</v>
      </c>
      <c r="L27" s="1329" t="str">
        <f t="shared" si="1"/>
        <v>Non renseigné</v>
      </c>
      <c r="M27" s="1166" t="str">
        <f t="shared" si="12"/>
        <v>-</v>
      </c>
      <c r="N27" s="391" t="e">
        <f t="shared" si="13"/>
        <v>#VALUE!</v>
      </c>
      <c r="O27" s="1166" t="e">
        <f t="shared" si="14"/>
        <v>#VALUE!</v>
      </c>
      <c r="P27" s="391" t="e">
        <f t="shared" si="15"/>
        <v>#VALUE!</v>
      </c>
      <c r="Q27" s="393"/>
      <c r="R27" s="935"/>
      <c r="S27" s="402" t="e">
        <f t="shared" si="2"/>
        <v>#VALUE!</v>
      </c>
      <c r="T27" s="402" t="e">
        <f t="shared" si="3"/>
        <v>#VALUE!</v>
      </c>
      <c r="U27" s="402" t="e">
        <f t="shared" si="4"/>
        <v>#VALUE!</v>
      </c>
      <c r="V27" s="402" t="e">
        <f t="shared" si="5"/>
        <v>#VALUE!</v>
      </c>
      <c r="W27" s="402" t="e">
        <f t="shared" si="6"/>
        <v>#VALUE!</v>
      </c>
      <c r="X27" s="402" t="e">
        <f t="shared" si="7"/>
        <v>#VALUE!</v>
      </c>
      <c r="Y27" s="402" t="e">
        <f t="shared" si="8"/>
        <v>#VALUE!</v>
      </c>
      <c r="Z27" s="402" t="e">
        <f t="shared" si="9"/>
        <v>#VALUE!</v>
      </c>
      <c r="AA27" s="402" t="e">
        <f t="shared" si="10"/>
        <v>#VALUE!</v>
      </c>
      <c r="AB27" s="669" t="e">
        <f t="shared" si="11"/>
        <v>#VALUE!</v>
      </c>
      <c r="AC27" s="403"/>
      <c r="AD27" s="938" t="s">
        <v>365</v>
      </c>
      <c r="AE27" s="939" t="s">
        <v>366</v>
      </c>
    </row>
    <row r="28" spans="2:37" s="121" customFormat="1" outlineLevel="1">
      <c r="B28" s="1824"/>
      <c r="C28" s="1825"/>
      <c r="D28" s="1829" t="s">
        <v>290</v>
      </c>
      <c r="E28" s="1830"/>
      <c r="F28" s="1830"/>
      <c r="G28" s="1831"/>
      <c r="H28" s="833"/>
      <c r="I28" s="1327" t="e">
        <f t="shared" si="0"/>
        <v>#DIV/0!</v>
      </c>
      <c r="J28" s="733" t="s">
        <v>365</v>
      </c>
      <c r="K28" s="733" t="s">
        <v>365</v>
      </c>
      <c r="L28" s="1329" t="str">
        <f t="shared" si="1"/>
        <v>Non renseigné</v>
      </c>
      <c r="M28" s="1169" t="str">
        <f t="shared" si="12"/>
        <v>-</v>
      </c>
      <c r="N28" s="734" t="e">
        <f t="shared" si="13"/>
        <v>#VALUE!</v>
      </c>
      <c r="O28" s="733" t="e">
        <f t="shared" si="14"/>
        <v>#VALUE!</v>
      </c>
      <c r="P28" s="734" t="e">
        <f t="shared" si="15"/>
        <v>#VALUE!</v>
      </c>
      <c r="Q28" s="735"/>
      <c r="R28" s="940"/>
      <c r="S28" s="402" t="e">
        <f t="shared" si="2"/>
        <v>#VALUE!</v>
      </c>
      <c r="T28" s="402" t="e">
        <f t="shared" si="3"/>
        <v>#VALUE!</v>
      </c>
      <c r="U28" s="402" t="e">
        <f t="shared" si="4"/>
        <v>#VALUE!</v>
      </c>
      <c r="V28" s="402" t="e">
        <f t="shared" si="5"/>
        <v>#VALUE!</v>
      </c>
      <c r="W28" s="402" t="e">
        <f t="shared" si="6"/>
        <v>#VALUE!</v>
      </c>
      <c r="X28" s="402" t="e">
        <f t="shared" si="7"/>
        <v>#VALUE!</v>
      </c>
      <c r="Y28" s="402" t="e">
        <f t="shared" si="8"/>
        <v>#VALUE!</v>
      </c>
      <c r="Z28" s="402" t="e">
        <f t="shared" si="9"/>
        <v>#VALUE!</v>
      </c>
      <c r="AA28" s="402" t="e">
        <f t="shared" si="10"/>
        <v>#VALUE!</v>
      </c>
      <c r="AB28" s="669" t="e">
        <f t="shared" si="11"/>
        <v>#VALUE!</v>
      </c>
      <c r="AC28" s="403"/>
    </row>
    <row r="29" spans="2:37" s="121" customFormat="1" outlineLevel="1">
      <c r="B29" s="1822"/>
      <c r="C29" s="1794"/>
      <c r="D29" s="1750" t="s">
        <v>290</v>
      </c>
      <c r="E29" s="1751"/>
      <c r="F29" s="1751"/>
      <c r="G29" s="1752"/>
      <c r="H29" s="834"/>
      <c r="I29" s="1327" t="e">
        <f t="shared" si="0"/>
        <v>#DIV/0!</v>
      </c>
      <c r="J29" s="736" t="s">
        <v>365</v>
      </c>
      <c r="K29" s="736" t="s">
        <v>365</v>
      </c>
      <c r="L29" s="1329" t="str">
        <f t="shared" si="1"/>
        <v>Non renseigné</v>
      </c>
      <c r="M29" s="736" t="str">
        <f t="shared" si="12"/>
        <v>-</v>
      </c>
      <c r="N29" s="737" t="e">
        <f t="shared" si="13"/>
        <v>#VALUE!</v>
      </c>
      <c r="O29" s="736" t="e">
        <f t="shared" si="14"/>
        <v>#VALUE!</v>
      </c>
      <c r="P29" s="737" t="e">
        <f t="shared" si="15"/>
        <v>#VALUE!</v>
      </c>
      <c r="Q29" s="738"/>
      <c r="R29" s="941"/>
      <c r="S29" s="402" t="e">
        <f t="shared" si="2"/>
        <v>#VALUE!</v>
      </c>
      <c r="T29" s="402" t="e">
        <f t="shared" si="3"/>
        <v>#VALUE!</v>
      </c>
      <c r="U29" s="402" t="e">
        <f t="shared" si="4"/>
        <v>#VALUE!</v>
      </c>
      <c r="V29" s="402" t="e">
        <f t="shared" si="5"/>
        <v>#VALUE!</v>
      </c>
      <c r="W29" s="402" t="e">
        <f t="shared" si="6"/>
        <v>#VALUE!</v>
      </c>
      <c r="X29" s="402" t="e">
        <f t="shared" si="7"/>
        <v>#VALUE!</v>
      </c>
      <c r="Y29" s="402" t="e">
        <f t="shared" si="8"/>
        <v>#VALUE!</v>
      </c>
      <c r="Z29" s="402" t="e">
        <f t="shared" si="9"/>
        <v>#VALUE!</v>
      </c>
      <c r="AA29" s="402" t="e">
        <f t="shared" si="10"/>
        <v>#VALUE!</v>
      </c>
      <c r="AB29" s="669" t="e">
        <f t="shared" si="11"/>
        <v>#VALUE!</v>
      </c>
      <c r="AC29" s="403"/>
    </row>
    <row r="30" spans="2:37" s="121" customFormat="1" outlineLevel="1">
      <c r="B30" s="1822"/>
      <c r="C30" s="1794"/>
      <c r="D30" s="1750" t="s">
        <v>290</v>
      </c>
      <c r="E30" s="1751"/>
      <c r="F30" s="1751"/>
      <c r="G30" s="1752"/>
      <c r="H30" s="834"/>
      <c r="I30" s="1327" t="e">
        <f t="shared" si="0"/>
        <v>#DIV/0!</v>
      </c>
      <c r="J30" s="736" t="s">
        <v>365</v>
      </c>
      <c r="K30" s="736" t="s">
        <v>365</v>
      </c>
      <c r="L30" s="1329" t="str">
        <f t="shared" si="1"/>
        <v>Non renseigné</v>
      </c>
      <c r="M30" s="736" t="str">
        <f t="shared" si="12"/>
        <v>-</v>
      </c>
      <c r="N30" s="737" t="e">
        <f t="shared" si="13"/>
        <v>#VALUE!</v>
      </c>
      <c r="O30" s="736" t="e">
        <f t="shared" si="14"/>
        <v>#VALUE!</v>
      </c>
      <c r="P30" s="737" t="e">
        <f t="shared" si="15"/>
        <v>#VALUE!</v>
      </c>
      <c r="Q30" s="738"/>
      <c r="R30" s="941"/>
      <c r="S30" s="402" t="e">
        <f t="shared" si="2"/>
        <v>#VALUE!</v>
      </c>
      <c r="T30" s="402" t="e">
        <f t="shared" si="3"/>
        <v>#VALUE!</v>
      </c>
      <c r="U30" s="402" t="e">
        <f t="shared" si="4"/>
        <v>#VALUE!</v>
      </c>
      <c r="V30" s="402" t="e">
        <f t="shared" si="5"/>
        <v>#VALUE!</v>
      </c>
      <c r="W30" s="402" t="e">
        <f t="shared" si="6"/>
        <v>#VALUE!</v>
      </c>
      <c r="X30" s="402" t="e">
        <f t="shared" si="7"/>
        <v>#VALUE!</v>
      </c>
      <c r="Y30" s="402" t="e">
        <f t="shared" si="8"/>
        <v>#VALUE!</v>
      </c>
      <c r="Z30" s="402" t="e">
        <f t="shared" si="9"/>
        <v>#VALUE!</v>
      </c>
      <c r="AA30" s="402" t="e">
        <f t="shared" si="10"/>
        <v>#VALUE!</v>
      </c>
      <c r="AB30" s="669" t="e">
        <f t="shared" si="11"/>
        <v>#VALUE!</v>
      </c>
      <c r="AC30" s="403"/>
    </row>
    <row r="31" spans="2:37" s="121" customFormat="1" outlineLevel="1">
      <c r="B31" s="1822"/>
      <c r="C31" s="1794"/>
      <c r="D31" s="1750" t="s">
        <v>290</v>
      </c>
      <c r="E31" s="1751"/>
      <c r="F31" s="1751"/>
      <c r="G31" s="1752"/>
      <c r="H31" s="834"/>
      <c r="I31" s="1327" t="e">
        <f t="shared" si="0"/>
        <v>#DIV/0!</v>
      </c>
      <c r="J31" s="736" t="s">
        <v>365</v>
      </c>
      <c r="K31" s="736" t="s">
        <v>365</v>
      </c>
      <c r="L31" s="1329" t="str">
        <f t="shared" si="1"/>
        <v>Non renseigné</v>
      </c>
      <c r="M31" s="736" t="str">
        <f t="shared" si="12"/>
        <v>-</v>
      </c>
      <c r="N31" s="737" t="e">
        <f t="shared" si="13"/>
        <v>#VALUE!</v>
      </c>
      <c r="O31" s="736" t="e">
        <f t="shared" si="14"/>
        <v>#VALUE!</v>
      </c>
      <c r="P31" s="737" t="e">
        <f t="shared" si="15"/>
        <v>#VALUE!</v>
      </c>
      <c r="Q31" s="738"/>
      <c r="R31" s="941"/>
      <c r="S31" s="402" t="e">
        <f t="shared" si="2"/>
        <v>#VALUE!</v>
      </c>
      <c r="T31" s="402" t="e">
        <f t="shared" si="3"/>
        <v>#VALUE!</v>
      </c>
      <c r="U31" s="402" t="e">
        <f t="shared" si="4"/>
        <v>#VALUE!</v>
      </c>
      <c r="V31" s="402" t="e">
        <f t="shared" si="5"/>
        <v>#VALUE!</v>
      </c>
      <c r="W31" s="402" t="e">
        <f t="shared" si="6"/>
        <v>#VALUE!</v>
      </c>
      <c r="X31" s="402" t="e">
        <f t="shared" si="7"/>
        <v>#VALUE!</v>
      </c>
      <c r="Y31" s="402" t="e">
        <f t="shared" si="8"/>
        <v>#VALUE!</v>
      </c>
      <c r="Z31" s="402" t="e">
        <f t="shared" si="9"/>
        <v>#VALUE!</v>
      </c>
      <c r="AA31" s="402" t="e">
        <f t="shared" si="10"/>
        <v>#VALUE!</v>
      </c>
      <c r="AB31" s="669" t="e">
        <f t="shared" si="11"/>
        <v>#VALUE!</v>
      </c>
      <c r="AC31" s="403"/>
    </row>
    <row r="32" spans="2:37" s="121" customFormat="1" outlineLevel="1">
      <c r="B32" s="1822"/>
      <c r="C32" s="1794"/>
      <c r="D32" s="1750" t="s">
        <v>290</v>
      </c>
      <c r="E32" s="1751"/>
      <c r="F32" s="1751"/>
      <c r="G32" s="1752"/>
      <c r="H32" s="834"/>
      <c r="I32" s="1327" t="e">
        <f t="shared" si="0"/>
        <v>#DIV/0!</v>
      </c>
      <c r="J32" s="736" t="s">
        <v>365</v>
      </c>
      <c r="K32" s="736" t="s">
        <v>365</v>
      </c>
      <c r="L32" s="1329" t="str">
        <f t="shared" si="1"/>
        <v>Non renseigné</v>
      </c>
      <c r="M32" s="736" t="str">
        <f t="shared" si="12"/>
        <v>-</v>
      </c>
      <c r="N32" s="737" t="e">
        <f t="shared" si="13"/>
        <v>#VALUE!</v>
      </c>
      <c r="O32" s="736" t="e">
        <f t="shared" si="14"/>
        <v>#VALUE!</v>
      </c>
      <c r="P32" s="737" t="e">
        <f t="shared" si="15"/>
        <v>#VALUE!</v>
      </c>
      <c r="Q32" s="738"/>
      <c r="R32" s="941"/>
      <c r="S32" s="402" t="e">
        <f t="shared" si="2"/>
        <v>#VALUE!</v>
      </c>
      <c r="T32" s="402" t="e">
        <f t="shared" si="3"/>
        <v>#VALUE!</v>
      </c>
      <c r="U32" s="402" t="e">
        <f t="shared" si="4"/>
        <v>#VALUE!</v>
      </c>
      <c r="V32" s="402" t="e">
        <f t="shared" si="5"/>
        <v>#VALUE!</v>
      </c>
      <c r="W32" s="402" t="e">
        <f t="shared" si="6"/>
        <v>#VALUE!</v>
      </c>
      <c r="X32" s="402" t="e">
        <f t="shared" si="7"/>
        <v>#VALUE!</v>
      </c>
      <c r="Y32" s="402" t="e">
        <f t="shared" si="8"/>
        <v>#VALUE!</v>
      </c>
      <c r="Z32" s="402" t="e">
        <f t="shared" si="9"/>
        <v>#VALUE!</v>
      </c>
      <c r="AA32" s="402" t="e">
        <f t="shared" si="10"/>
        <v>#VALUE!</v>
      </c>
      <c r="AB32" s="669" t="e">
        <f t="shared" si="11"/>
        <v>#VALUE!</v>
      </c>
      <c r="AC32" s="403"/>
    </row>
    <row r="33" spans="2:29" s="121" customFormat="1" outlineLevel="1">
      <c r="B33" s="1822"/>
      <c r="C33" s="1794"/>
      <c r="D33" s="1750" t="s">
        <v>290</v>
      </c>
      <c r="E33" s="1751"/>
      <c r="F33" s="1751"/>
      <c r="G33" s="1752"/>
      <c r="H33" s="834"/>
      <c r="I33" s="1327" t="e">
        <f t="shared" si="0"/>
        <v>#DIV/0!</v>
      </c>
      <c r="J33" s="736" t="s">
        <v>365</v>
      </c>
      <c r="K33" s="736" t="s">
        <v>365</v>
      </c>
      <c r="L33" s="1329" t="str">
        <f t="shared" si="1"/>
        <v>Non renseigné</v>
      </c>
      <c r="M33" s="736" t="str">
        <f t="shared" si="12"/>
        <v>-</v>
      </c>
      <c r="N33" s="737" t="e">
        <f t="shared" si="13"/>
        <v>#VALUE!</v>
      </c>
      <c r="O33" s="736" t="e">
        <f t="shared" si="14"/>
        <v>#VALUE!</v>
      </c>
      <c r="P33" s="737" t="e">
        <f t="shared" si="15"/>
        <v>#VALUE!</v>
      </c>
      <c r="Q33" s="738"/>
      <c r="R33" s="941"/>
      <c r="S33" s="402" t="e">
        <f t="shared" si="2"/>
        <v>#VALUE!</v>
      </c>
      <c r="T33" s="402" t="e">
        <f t="shared" si="3"/>
        <v>#VALUE!</v>
      </c>
      <c r="U33" s="402" t="e">
        <f t="shared" si="4"/>
        <v>#VALUE!</v>
      </c>
      <c r="V33" s="402" t="e">
        <f t="shared" si="5"/>
        <v>#VALUE!</v>
      </c>
      <c r="W33" s="402" t="e">
        <f t="shared" si="6"/>
        <v>#VALUE!</v>
      </c>
      <c r="X33" s="402" t="e">
        <f t="shared" si="7"/>
        <v>#VALUE!</v>
      </c>
      <c r="Y33" s="402" t="e">
        <f t="shared" si="8"/>
        <v>#VALUE!</v>
      </c>
      <c r="Z33" s="402" t="e">
        <f t="shared" si="9"/>
        <v>#VALUE!</v>
      </c>
      <c r="AA33" s="402" t="e">
        <f t="shared" si="10"/>
        <v>#VALUE!</v>
      </c>
      <c r="AB33" s="669" t="e">
        <f t="shared" si="11"/>
        <v>#VALUE!</v>
      </c>
      <c r="AC33" s="403"/>
    </row>
    <row r="34" spans="2:29" s="121" customFormat="1" outlineLevel="1">
      <c r="B34" s="1822"/>
      <c r="C34" s="1794"/>
      <c r="D34" s="1750" t="s">
        <v>290</v>
      </c>
      <c r="E34" s="1751"/>
      <c r="F34" s="1751"/>
      <c r="G34" s="1752"/>
      <c r="H34" s="834"/>
      <c r="I34" s="1327" t="e">
        <f t="shared" si="0"/>
        <v>#DIV/0!</v>
      </c>
      <c r="J34" s="736" t="s">
        <v>365</v>
      </c>
      <c r="K34" s="736" t="s">
        <v>365</v>
      </c>
      <c r="L34" s="1329" t="str">
        <f t="shared" si="1"/>
        <v>Non renseigné</v>
      </c>
      <c r="M34" s="736" t="str">
        <f t="shared" si="12"/>
        <v>-</v>
      </c>
      <c r="N34" s="737" t="e">
        <f t="shared" si="13"/>
        <v>#VALUE!</v>
      </c>
      <c r="O34" s="736" t="e">
        <f t="shared" si="14"/>
        <v>#VALUE!</v>
      </c>
      <c r="P34" s="737" t="e">
        <f t="shared" si="15"/>
        <v>#VALUE!</v>
      </c>
      <c r="Q34" s="738"/>
      <c r="R34" s="941"/>
      <c r="S34" s="402" t="e">
        <f t="shared" si="2"/>
        <v>#VALUE!</v>
      </c>
      <c r="T34" s="402" t="e">
        <f t="shared" si="3"/>
        <v>#VALUE!</v>
      </c>
      <c r="U34" s="402" t="e">
        <f t="shared" si="4"/>
        <v>#VALUE!</v>
      </c>
      <c r="V34" s="402" t="e">
        <f t="shared" si="5"/>
        <v>#VALUE!</v>
      </c>
      <c r="W34" s="402" t="e">
        <f t="shared" si="6"/>
        <v>#VALUE!</v>
      </c>
      <c r="X34" s="402" t="e">
        <f t="shared" si="7"/>
        <v>#VALUE!</v>
      </c>
      <c r="Y34" s="402" t="e">
        <f t="shared" si="8"/>
        <v>#VALUE!</v>
      </c>
      <c r="Z34" s="402" t="e">
        <f t="shared" si="9"/>
        <v>#VALUE!</v>
      </c>
      <c r="AA34" s="402" t="e">
        <f t="shared" si="10"/>
        <v>#VALUE!</v>
      </c>
      <c r="AB34" s="669" t="e">
        <f t="shared" si="11"/>
        <v>#VALUE!</v>
      </c>
      <c r="AC34" s="403"/>
    </row>
    <row r="35" spans="2:29" s="121" customFormat="1" outlineLevel="1">
      <c r="B35" s="1822"/>
      <c r="C35" s="1794"/>
      <c r="D35" s="1750" t="s">
        <v>290</v>
      </c>
      <c r="E35" s="1751"/>
      <c r="F35" s="1751"/>
      <c r="G35" s="1752"/>
      <c r="H35" s="834"/>
      <c r="I35" s="1327" t="e">
        <f t="shared" si="0"/>
        <v>#DIV/0!</v>
      </c>
      <c r="J35" s="736" t="s">
        <v>365</v>
      </c>
      <c r="K35" s="736" t="s">
        <v>365</v>
      </c>
      <c r="L35" s="1329" t="str">
        <f t="shared" si="1"/>
        <v>Non renseigné</v>
      </c>
      <c r="M35" s="736" t="str">
        <f t="shared" si="12"/>
        <v>-</v>
      </c>
      <c r="N35" s="737" t="e">
        <f t="shared" si="13"/>
        <v>#VALUE!</v>
      </c>
      <c r="O35" s="736" t="e">
        <f t="shared" si="14"/>
        <v>#VALUE!</v>
      </c>
      <c r="P35" s="737" t="e">
        <f t="shared" si="15"/>
        <v>#VALUE!</v>
      </c>
      <c r="Q35" s="738"/>
      <c r="R35" s="941"/>
      <c r="S35" s="402" t="e">
        <f t="shared" si="2"/>
        <v>#VALUE!</v>
      </c>
      <c r="T35" s="402" t="e">
        <f t="shared" si="3"/>
        <v>#VALUE!</v>
      </c>
      <c r="U35" s="402" t="e">
        <f t="shared" si="4"/>
        <v>#VALUE!</v>
      </c>
      <c r="V35" s="402" t="e">
        <f t="shared" si="5"/>
        <v>#VALUE!</v>
      </c>
      <c r="W35" s="402" t="e">
        <f t="shared" si="6"/>
        <v>#VALUE!</v>
      </c>
      <c r="X35" s="402" t="e">
        <f t="shared" si="7"/>
        <v>#VALUE!</v>
      </c>
      <c r="Y35" s="402" t="e">
        <f t="shared" si="8"/>
        <v>#VALUE!</v>
      </c>
      <c r="Z35" s="402" t="e">
        <f t="shared" si="9"/>
        <v>#VALUE!</v>
      </c>
      <c r="AA35" s="402" t="e">
        <f t="shared" si="10"/>
        <v>#VALUE!</v>
      </c>
      <c r="AB35" s="669" t="e">
        <f t="shared" si="11"/>
        <v>#VALUE!</v>
      </c>
      <c r="AC35" s="403"/>
    </row>
    <row r="36" spans="2:29" s="121" customFormat="1" outlineLevel="1">
      <c r="B36" s="1824"/>
      <c r="C36" s="1825"/>
      <c r="D36" s="1829" t="s">
        <v>290</v>
      </c>
      <c r="E36" s="1830"/>
      <c r="F36" s="1830"/>
      <c r="G36" s="1831"/>
      <c r="H36" s="835"/>
      <c r="I36" s="1327" t="e">
        <f t="shared" si="0"/>
        <v>#DIV/0!</v>
      </c>
      <c r="J36" s="736" t="s">
        <v>365</v>
      </c>
      <c r="K36" s="736" t="s">
        <v>365</v>
      </c>
      <c r="L36" s="1330" t="str">
        <f t="shared" si="1"/>
        <v>Non renseigné</v>
      </c>
      <c r="M36" s="736" t="str">
        <f t="shared" si="12"/>
        <v>-</v>
      </c>
      <c r="N36" s="822" t="e">
        <f t="shared" si="13"/>
        <v>#VALUE!</v>
      </c>
      <c r="O36" s="733" t="e">
        <f t="shared" si="14"/>
        <v>#VALUE!</v>
      </c>
      <c r="P36" s="822" t="e">
        <f t="shared" si="15"/>
        <v>#VALUE!</v>
      </c>
      <c r="Q36" s="823"/>
      <c r="R36" s="942"/>
      <c r="S36" s="402" t="e">
        <f t="shared" si="2"/>
        <v>#VALUE!</v>
      </c>
      <c r="T36" s="402" t="e">
        <f t="shared" si="3"/>
        <v>#VALUE!</v>
      </c>
      <c r="U36" s="402" t="e">
        <f t="shared" si="4"/>
        <v>#VALUE!</v>
      </c>
      <c r="V36" s="402" t="e">
        <f t="shared" si="5"/>
        <v>#VALUE!</v>
      </c>
      <c r="W36" s="402" t="e">
        <f t="shared" si="6"/>
        <v>#VALUE!</v>
      </c>
      <c r="X36" s="402" t="e">
        <f t="shared" si="7"/>
        <v>#VALUE!</v>
      </c>
      <c r="Y36" s="402" t="e">
        <f t="shared" si="8"/>
        <v>#VALUE!</v>
      </c>
      <c r="Z36" s="402" t="e">
        <f t="shared" si="9"/>
        <v>#VALUE!</v>
      </c>
      <c r="AA36" s="402" t="e">
        <f t="shared" si="10"/>
        <v>#VALUE!</v>
      </c>
      <c r="AB36" s="669" t="e">
        <f t="shared" si="11"/>
        <v>#VALUE!</v>
      </c>
      <c r="AC36" s="403"/>
    </row>
    <row r="37" spans="2:29" s="121" customFormat="1" outlineLevel="1">
      <c r="B37" s="1822"/>
      <c r="C37" s="1794"/>
      <c r="D37" s="1750" t="s">
        <v>290</v>
      </c>
      <c r="E37" s="1751"/>
      <c r="F37" s="1751"/>
      <c r="G37" s="1752"/>
      <c r="H37" s="834"/>
      <c r="I37" s="1327" t="e">
        <f t="shared" si="0"/>
        <v>#DIV/0!</v>
      </c>
      <c r="J37" s="736" t="s">
        <v>365</v>
      </c>
      <c r="K37" s="736" t="s">
        <v>365</v>
      </c>
      <c r="L37" s="1330" t="str">
        <f t="shared" si="1"/>
        <v>Non renseigné</v>
      </c>
      <c r="M37" s="736" t="str">
        <f t="shared" si="12"/>
        <v>-</v>
      </c>
      <c r="N37" s="822" t="e">
        <f t="shared" si="13"/>
        <v>#VALUE!</v>
      </c>
      <c r="O37" s="733" t="e">
        <f t="shared" si="14"/>
        <v>#VALUE!</v>
      </c>
      <c r="P37" s="822" t="e">
        <f t="shared" si="15"/>
        <v>#VALUE!</v>
      </c>
      <c r="Q37" s="738"/>
      <c r="R37" s="941"/>
      <c r="S37" s="402" t="e">
        <f t="shared" si="2"/>
        <v>#VALUE!</v>
      </c>
      <c r="T37" s="402" t="e">
        <f t="shared" si="3"/>
        <v>#VALUE!</v>
      </c>
      <c r="U37" s="402" t="e">
        <f t="shared" si="4"/>
        <v>#VALUE!</v>
      </c>
      <c r="V37" s="402" t="e">
        <f t="shared" si="5"/>
        <v>#VALUE!</v>
      </c>
      <c r="W37" s="402" t="e">
        <f t="shared" si="6"/>
        <v>#VALUE!</v>
      </c>
      <c r="X37" s="402" t="e">
        <f t="shared" si="7"/>
        <v>#VALUE!</v>
      </c>
      <c r="Y37" s="402" t="e">
        <f t="shared" si="8"/>
        <v>#VALUE!</v>
      </c>
      <c r="Z37" s="402" t="e">
        <f t="shared" si="9"/>
        <v>#VALUE!</v>
      </c>
      <c r="AA37" s="402" t="e">
        <f t="shared" si="10"/>
        <v>#VALUE!</v>
      </c>
      <c r="AB37" s="669" t="e">
        <f t="shared" si="11"/>
        <v>#VALUE!</v>
      </c>
      <c r="AC37" s="403"/>
    </row>
    <row r="38" spans="2:29" s="121" customFormat="1" outlineLevel="1">
      <c r="B38" s="1822"/>
      <c r="C38" s="1794"/>
      <c r="D38" s="1750" t="s">
        <v>290</v>
      </c>
      <c r="E38" s="1751"/>
      <c r="F38" s="1751"/>
      <c r="G38" s="1752"/>
      <c r="H38" s="834"/>
      <c r="I38" s="1327" t="e">
        <f t="shared" si="0"/>
        <v>#DIV/0!</v>
      </c>
      <c r="J38" s="736" t="s">
        <v>365</v>
      </c>
      <c r="K38" s="736" t="s">
        <v>365</v>
      </c>
      <c r="L38" s="1330" t="str">
        <f t="shared" si="1"/>
        <v>Non renseigné</v>
      </c>
      <c r="M38" s="736" t="str">
        <f t="shared" si="12"/>
        <v>-</v>
      </c>
      <c r="N38" s="822" t="e">
        <f t="shared" si="13"/>
        <v>#VALUE!</v>
      </c>
      <c r="O38" s="733" t="e">
        <f t="shared" si="14"/>
        <v>#VALUE!</v>
      </c>
      <c r="P38" s="822" t="e">
        <f t="shared" si="15"/>
        <v>#VALUE!</v>
      </c>
      <c r="Q38" s="738"/>
      <c r="R38" s="941"/>
      <c r="S38" s="402" t="e">
        <f t="shared" si="2"/>
        <v>#VALUE!</v>
      </c>
      <c r="T38" s="402" t="e">
        <f t="shared" si="3"/>
        <v>#VALUE!</v>
      </c>
      <c r="U38" s="402" t="e">
        <f t="shared" si="4"/>
        <v>#VALUE!</v>
      </c>
      <c r="V38" s="402" t="e">
        <f t="shared" si="5"/>
        <v>#VALUE!</v>
      </c>
      <c r="W38" s="402" t="e">
        <f t="shared" si="6"/>
        <v>#VALUE!</v>
      </c>
      <c r="X38" s="402" t="e">
        <f t="shared" si="7"/>
        <v>#VALUE!</v>
      </c>
      <c r="Y38" s="402" t="e">
        <f t="shared" si="8"/>
        <v>#VALUE!</v>
      </c>
      <c r="Z38" s="402" t="e">
        <f t="shared" si="9"/>
        <v>#VALUE!</v>
      </c>
      <c r="AA38" s="402" t="e">
        <f t="shared" si="10"/>
        <v>#VALUE!</v>
      </c>
      <c r="AB38" s="669" t="e">
        <f t="shared" si="11"/>
        <v>#VALUE!</v>
      </c>
      <c r="AC38" s="403"/>
    </row>
    <row r="39" spans="2:29" s="121" customFormat="1" outlineLevel="1">
      <c r="B39" s="1822"/>
      <c r="C39" s="1794"/>
      <c r="D39" s="1750" t="s">
        <v>290</v>
      </c>
      <c r="E39" s="1751"/>
      <c r="F39" s="1751"/>
      <c r="G39" s="1752"/>
      <c r="H39" s="834"/>
      <c r="I39" s="1327" t="e">
        <f t="shared" si="0"/>
        <v>#DIV/0!</v>
      </c>
      <c r="J39" s="736" t="s">
        <v>365</v>
      </c>
      <c r="K39" s="736" t="s">
        <v>365</v>
      </c>
      <c r="L39" s="1330" t="str">
        <f t="shared" si="1"/>
        <v>Non renseigné</v>
      </c>
      <c r="M39" s="736" t="str">
        <f t="shared" si="12"/>
        <v>-</v>
      </c>
      <c r="N39" s="822" t="e">
        <f t="shared" si="13"/>
        <v>#VALUE!</v>
      </c>
      <c r="O39" s="733" t="e">
        <f t="shared" si="14"/>
        <v>#VALUE!</v>
      </c>
      <c r="P39" s="822" t="e">
        <f t="shared" si="15"/>
        <v>#VALUE!</v>
      </c>
      <c r="Q39" s="738"/>
      <c r="R39" s="941"/>
      <c r="S39" s="402" t="e">
        <f t="shared" si="2"/>
        <v>#VALUE!</v>
      </c>
      <c r="T39" s="402" t="e">
        <f t="shared" si="3"/>
        <v>#VALUE!</v>
      </c>
      <c r="U39" s="402" t="e">
        <f t="shared" si="4"/>
        <v>#VALUE!</v>
      </c>
      <c r="V39" s="402" t="e">
        <f t="shared" si="5"/>
        <v>#VALUE!</v>
      </c>
      <c r="W39" s="402" t="e">
        <f t="shared" si="6"/>
        <v>#VALUE!</v>
      </c>
      <c r="X39" s="402" t="e">
        <f t="shared" si="7"/>
        <v>#VALUE!</v>
      </c>
      <c r="Y39" s="402" t="e">
        <f t="shared" si="8"/>
        <v>#VALUE!</v>
      </c>
      <c r="Z39" s="402" t="e">
        <f t="shared" si="9"/>
        <v>#VALUE!</v>
      </c>
      <c r="AA39" s="402" t="e">
        <f t="shared" si="10"/>
        <v>#VALUE!</v>
      </c>
      <c r="AB39" s="669" t="e">
        <f t="shared" si="11"/>
        <v>#VALUE!</v>
      </c>
      <c r="AC39" s="403"/>
    </row>
    <row r="40" spans="2:29" s="121" customFormat="1" outlineLevel="1">
      <c r="B40" s="1822"/>
      <c r="C40" s="1794"/>
      <c r="D40" s="1750" t="s">
        <v>290</v>
      </c>
      <c r="E40" s="1751"/>
      <c r="F40" s="1751"/>
      <c r="G40" s="1752"/>
      <c r="H40" s="834"/>
      <c r="I40" s="1327" t="e">
        <f t="shared" si="0"/>
        <v>#DIV/0!</v>
      </c>
      <c r="J40" s="736" t="s">
        <v>365</v>
      </c>
      <c r="K40" s="736" t="s">
        <v>365</v>
      </c>
      <c r="L40" s="1330" t="str">
        <f t="shared" si="1"/>
        <v>Non renseigné</v>
      </c>
      <c r="M40" s="736" t="str">
        <f t="shared" si="12"/>
        <v>-</v>
      </c>
      <c r="N40" s="822" t="e">
        <f t="shared" si="13"/>
        <v>#VALUE!</v>
      </c>
      <c r="O40" s="733" t="e">
        <f t="shared" si="14"/>
        <v>#VALUE!</v>
      </c>
      <c r="P40" s="822" t="e">
        <f t="shared" si="15"/>
        <v>#VALUE!</v>
      </c>
      <c r="Q40" s="738"/>
      <c r="R40" s="941"/>
      <c r="S40" s="402" t="e">
        <f t="shared" si="2"/>
        <v>#VALUE!</v>
      </c>
      <c r="T40" s="402" t="e">
        <f t="shared" si="3"/>
        <v>#VALUE!</v>
      </c>
      <c r="U40" s="402" t="e">
        <f t="shared" si="4"/>
        <v>#VALUE!</v>
      </c>
      <c r="V40" s="402" t="e">
        <f t="shared" si="5"/>
        <v>#VALUE!</v>
      </c>
      <c r="W40" s="402" t="e">
        <f t="shared" si="6"/>
        <v>#VALUE!</v>
      </c>
      <c r="X40" s="402" t="e">
        <f t="shared" si="7"/>
        <v>#VALUE!</v>
      </c>
      <c r="Y40" s="402" t="e">
        <f t="shared" si="8"/>
        <v>#VALUE!</v>
      </c>
      <c r="Z40" s="402" t="e">
        <f t="shared" si="9"/>
        <v>#VALUE!</v>
      </c>
      <c r="AA40" s="402" t="e">
        <f t="shared" si="10"/>
        <v>#VALUE!</v>
      </c>
      <c r="AB40" s="669" t="e">
        <f t="shared" si="11"/>
        <v>#VALUE!</v>
      </c>
      <c r="AC40" s="403"/>
    </row>
    <row r="41" spans="2:29" s="121" customFormat="1" outlineLevel="1">
      <c r="B41" s="1822"/>
      <c r="C41" s="1794"/>
      <c r="D41" s="1750" t="s">
        <v>290</v>
      </c>
      <c r="E41" s="1751"/>
      <c r="F41" s="1751"/>
      <c r="G41" s="1752"/>
      <c r="H41" s="834"/>
      <c r="I41" s="1327" t="e">
        <f t="shared" si="0"/>
        <v>#DIV/0!</v>
      </c>
      <c r="J41" s="736" t="s">
        <v>365</v>
      </c>
      <c r="K41" s="736" t="s">
        <v>365</v>
      </c>
      <c r="L41" s="1330" t="str">
        <f t="shared" si="1"/>
        <v>Non renseigné</v>
      </c>
      <c r="M41" s="736" t="str">
        <f t="shared" si="12"/>
        <v>-</v>
      </c>
      <c r="N41" s="822" t="e">
        <f t="shared" si="13"/>
        <v>#VALUE!</v>
      </c>
      <c r="O41" s="733" t="e">
        <f t="shared" si="14"/>
        <v>#VALUE!</v>
      </c>
      <c r="P41" s="822" t="e">
        <f t="shared" si="15"/>
        <v>#VALUE!</v>
      </c>
      <c r="Q41" s="738"/>
      <c r="R41" s="941"/>
      <c r="S41" s="402" t="e">
        <f t="shared" si="2"/>
        <v>#VALUE!</v>
      </c>
      <c r="T41" s="402" t="e">
        <f t="shared" si="3"/>
        <v>#VALUE!</v>
      </c>
      <c r="U41" s="402" t="e">
        <f t="shared" si="4"/>
        <v>#VALUE!</v>
      </c>
      <c r="V41" s="402" t="e">
        <f t="shared" si="5"/>
        <v>#VALUE!</v>
      </c>
      <c r="W41" s="402" t="e">
        <f t="shared" si="6"/>
        <v>#VALUE!</v>
      </c>
      <c r="X41" s="402" t="e">
        <f t="shared" si="7"/>
        <v>#VALUE!</v>
      </c>
      <c r="Y41" s="402" t="e">
        <f t="shared" si="8"/>
        <v>#VALUE!</v>
      </c>
      <c r="Z41" s="402" t="e">
        <f t="shared" si="9"/>
        <v>#VALUE!</v>
      </c>
      <c r="AA41" s="402" t="e">
        <f t="shared" si="10"/>
        <v>#VALUE!</v>
      </c>
      <c r="AB41" s="669" t="e">
        <f t="shared" si="11"/>
        <v>#VALUE!</v>
      </c>
      <c r="AC41" s="403"/>
    </row>
    <row r="42" spans="2:29" s="121" customFormat="1" outlineLevel="1">
      <c r="B42" s="1822"/>
      <c r="C42" s="1794"/>
      <c r="D42" s="1750" t="s">
        <v>290</v>
      </c>
      <c r="E42" s="1751"/>
      <c r="F42" s="1751"/>
      <c r="G42" s="1752"/>
      <c r="H42" s="834"/>
      <c r="I42" s="1327" t="e">
        <f t="shared" si="0"/>
        <v>#DIV/0!</v>
      </c>
      <c r="J42" s="736" t="s">
        <v>365</v>
      </c>
      <c r="K42" s="736" t="s">
        <v>365</v>
      </c>
      <c r="L42" s="1330" t="str">
        <f t="shared" si="1"/>
        <v>Non renseigné</v>
      </c>
      <c r="M42" s="736" t="str">
        <f t="shared" si="12"/>
        <v>-</v>
      </c>
      <c r="N42" s="822" t="e">
        <f t="shared" si="13"/>
        <v>#VALUE!</v>
      </c>
      <c r="O42" s="733" t="e">
        <f t="shared" si="14"/>
        <v>#VALUE!</v>
      </c>
      <c r="P42" s="822" t="e">
        <f t="shared" si="15"/>
        <v>#VALUE!</v>
      </c>
      <c r="Q42" s="738"/>
      <c r="R42" s="941"/>
      <c r="S42" s="402" t="e">
        <f t="shared" si="2"/>
        <v>#VALUE!</v>
      </c>
      <c r="T42" s="402" t="e">
        <f t="shared" si="3"/>
        <v>#VALUE!</v>
      </c>
      <c r="U42" s="402" t="e">
        <f t="shared" si="4"/>
        <v>#VALUE!</v>
      </c>
      <c r="V42" s="402" t="e">
        <f t="shared" si="5"/>
        <v>#VALUE!</v>
      </c>
      <c r="W42" s="402" t="e">
        <f t="shared" si="6"/>
        <v>#VALUE!</v>
      </c>
      <c r="X42" s="402" t="e">
        <f t="shared" si="7"/>
        <v>#VALUE!</v>
      </c>
      <c r="Y42" s="402" t="e">
        <f t="shared" si="8"/>
        <v>#VALUE!</v>
      </c>
      <c r="Z42" s="402" t="e">
        <f t="shared" si="9"/>
        <v>#VALUE!</v>
      </c>
      <c r="AA42" s="402" t="e">
        <f t="shared" si="10"/>
        <v>#VALUE!</v>
      </c>
      <c r="AB42" s="669" t="e">
        <f t="shared" si="11"/>
        <v>#VALUE!</v>
      </c>
      <c r="AC42" s="403"/>
    </row>
    <row r="43" spans="2:29" s="121" customFormat="1" outlineLevel="1">
      <c r="B43" s="1822"/>
      <c r="C43" s="1794"/>
      <c r="D43" s="1750" t="s">
        <v>290</v>
      </c>
      <c r="E43" s="1751"/>
      <c r="F43" s="1751"/>
      <c r="G43" s="1752"/>
      <c r="H43" s="834"/>
      <c r="I43" s="1327" t="e">
        <f t="shared" si="0"/>
        <v>#DIV/0!</v>
      </c>
      <c r="J43" s="736" t="s">
        <v>365</v>
      </c>
      <c r="K43" s="736" t="s">
        <v>365</v>
      </c>
      <c r="L43" s="1330" t="str">
        <f t="shared" si="1"/>
        <v>Non renseigné</v>
      </c>
      <c r="M43" s="736" t="str">
        <f t="shared" si="12"/>
        <v>-</v>
      </c>
      <c r="N43" s="822" t="e">
        <f t="shared" si="13"/>
        <v>#VALUE!</v>
      </c>
      <c r="O43" s="733" t="e">
        <f t="shared" si="14"/>
        <v>#VALUE!</v>
      </c>
      <c r="P43" s="822" t="e">
        <f t="shared" si="15"/>
        <v>#VALUE!</v>
      </c>
      <c r="Q43" s="738"/>
      <c r="R43" s="941"/>
      <c r="S43" s="402" t="e">
        <f t="shared" si="2"/>
        <v>#VALUE!</v>
      </c>
      <c r="T43" s="402" t="e">
        <f t="shared" si="3"/>
        <v>#VALUE!</v>
      </c>
      <c r="U43" s="402" t="e">
        <f t="shared" si="4"/>
        <v>#VALUE!</v>
      </c>
      <c r="V43" s="402" t="e">
        <f t="shared" si="5"/>
        <v>#VALUE!</v>
      </c>
      <c r="W43" s="402" t="e">
        <f t="shared" si="6"/>
        <v>#VALUE!</v>
      </c>
      <c r="X43" s="402" t="e">
        <f t="shared" si="7"/>
        <v>#VALUE!</v>
      </c>
      <c r="Y43" s="402" t="e">
        <f t="shared" si="8"/>
        <v>#VALUE!</v>
      </c>
      <c r="Z43" s="402" t="e">
        <f t="shared" si="9"/>
        <v>#VALUE!</v>
      </c>
      <c r="AA43" s="402" t="e">
        <f t="shared" si="10"/>
        <v>#VALUE!</v>
      </c>
      <c r="AB43" s="669" t="e">
        <f t="shared" si="11"/>
        <v>#VALUE!</v>
      </c>
      <c r="AC43" s="403"/>
    </row>
    <row r="44" spans="2:29" s="121" customFormat="1" outlineLevel="1">
      <c r="B44" s="1822"/>
      <c r="C44" s="1794"/>
      <c r="D44" s="1750" t="s">
        <v>290</v>
      </c>
      <c r="E44" s="1751"/>
      <c r="F44" s="1751"/>
      <c r="G44" s="1752"/>
      <c r="H44" s="834"/>
      <c r="I44" s="1327" t="e">
        <f t="shared" si="0"/>
        <v>#DIV/0!</v>
      </c>
      <c r="J44" s="736" t="s">
        <v>365</v>
      </c>
      <c r="K44" s="736" t="s">
        <v>365</v>
      </c>
      <c r="L44" s="1330" t="str">
        <f t="shared" si="1"/>
        <v>Non renseigné</v>
      </c>
      <c r="M44" s="736" t="str">
        <f t="shared" si="12"/>
        <v>-</v>
      </c>
      <c r="N44" s="822" t="e">
        <f t="shared" si="13"/>
        <v>#VALUE!</v>
      </c>
      <c r="O44" s="733" t="e">
        <f t="shared" si="14"/>
        <v>#VALUE!</v>
      </c>
      <c r="P44" s="822" t="e">
        <f t="shared" si="15"/>
        <v>#VALUE!</v>
      </c>
      <c r="Q44" s="738"/>
      <c r="R44" s="941"/>
      <c r="S44" s="402" t="e">
        <f t="shared" si="2"/>
        <v>#VALUE!</v>
      </c>
      <c r="T44" s="402" t="e">
        <f t="shared" si="3"/>
        <v>#VALUE!</v>
      </c>
      <c r="U44" s="402" t="e">
        <f t="shared" si="4"/>
        <v>#VALUE!</v>
      </c>
      <c r="V44" s="402" t="e">
        <f t="shared" si="5"/>
        <v>#VALUE!</v>
      </c>
      <c r="W44" s="402" t="e">
        <f t="shared" si="6"/>
        <v>#VALUE!</v>
      </c>
      <c r="X44" s="402" t="e">
        <f t="shared" si="7"/>
        <v>#VALUE!</v>
      </c>
      <c r="Y44" s="402" t="e">
        <f t="shared" si="8"/>
        <v>#VALUE!</v>
      </c>
      <c r="Z44" s="402" t="e">
        <f t="shared" si="9"/>
        <v>#VALUE!</v>
      </c>
      <c r="AA44" s="402" t="e">
        <f t="shared" si="10"/>
        <v>#VALUE!</v>
      </c>
      <c r="AB44" s="669" t="e">
        <f t="shared" si="11"/>
        <v>#VALUE!</v>
      </c>
      <c r="AC44" s="403"/>
    </row>
    <row r="45" spans="2:29" s="121" customFormat="1" outlineLevel="1">
      <c r="B45" s="1822"/>
      <c r="C45" s="1794"/>
      <c r="D45" s="1750" t="s">
        <v>290</v>
      </c>
      <c r="E45" s="1751"/>
      <c r="F45" s="1751"/>
      <c r="G45" s="1752"/>
      <c r="H45" s="834"/>
      <c r="I45" s="1327" t="e">
        <f t="shared" si="0"/>
        <v>#DIV/0!</v>
      </c>
      <c r="J45" s="736" t="s">
        <v>365</v>
      </c>
      <c r="K45" s="736" t="s">
        <v>365</v>
      </c>
      <c r="L45" s="1330" t="str">
        <f t="shared" si="1"/>
        <v>Non renseigné</v>
      </c>
      <c r="M45" s="736" t="str">
        <f t="shared" si="12"/>
        <v>-</v>
      </c>
      <c r="N45" s="822" t="e">
        <f t="shared" si="13"/>
        <v>#VALUE!</v>
      </c>
      <c r="O45" s="733" t="e">
        <f t="shared" si="14"/>
        <v>#VALUE!</v>
      </c>
      <c r="P45" s="822" t="e">
        <f t="shared" si="15"/>
        <v>#VALUE!</v>
      </c>
      <c r="Q45" s="738"/>
      <c r="R45" s="941"/>
      <c r="S45" s="402" t="e">
        <f t="shared" si="2"/>
        <v>#VALUE!</v>
      </c>
      <c r="T45" s="402" t="e">
        <f t="shared" si="3"/>
        <v>#VALUE!</v>
      </c>
      <c r="U45" s="402" t="e">
        <f t="shared" si="4"/>
        <v>#VALUE!</v>
      </c>
      <c r="V45" s="402" t="e">
        <f t="shared" si="5"/>
        <v>#VALUE!</v>
      </c>
      <c r="W45" s="402" t="e">
        <f t="shared" si="6"/>
        <v>#VALUE!</v>
      </c>
      <c r="X45" s="402" t="e">
        <f t="shared" si="7"/>
        <v>#VALUE!</v>
      </c>
      <c r="Y45" s="402" t="e">
        <f t="shared" si="8"/>
        <v>#VALUE!</v>
      </c>
      <c r="Z45" s="402" t="e">
        <f t="shared" si="9"/>
        <v>#VALUE!</v>
      </c>
      <c r="AA45" s="402" t="e">
        <f t="shared" si="10"/>
        <v>#VALUE!</v>
      </c>
      <c r="AB45" s="669" t="e">
        <f t="shared" si="11"/>
        <v>#VALUE!</v>
      </c>
      <c r="AC45" s="403"/>
    </row>
    <row r="46" spans="2:29" s="121" customFormat="1" outlineLevel="1">
      <c r="B46" s="1822"/>
      <c r="C46" s="1794"/>
      <c r="D46" s="1750" t="s">
        <v>290</v>
      </c>
      <c r="E46" s="1751"/>
      <c r="F46" s="1751"/>
      <c r="G46" s="1752"/>
      <c r="H46" s="834"/>
      <c r="I46" s="1327" t="e">
        <f t="shared" si="0"/>
        <v>#DIV/0!</v>
      </c>
      <c r="J46" s="736" t="s">
        <v>365</v>
      </c>
      <c r="K46" s="736" t="s">
        <v>365</v>
      </c>
      <c r="L46" s="1330" t="str">
        <f t="shared" si="1"/>
        <v>Non renseigné</v>
      </c>
      <c r="M46" s="736" t="str">
        <f t="shared" si="12"/>
        <v>-</v>
      </c>
      <c r="N46" s="822" t="e">
        <f t="shared" si="13"/>
        <v>#VALUE!</v>
      </c>
      <c r="O46" s="733" t="e">
        <f t="shared" si="14"/>
        <v>#VALUE!</v>
      </c>
      <c r="P46" s="822" t="e">
        <f t="shared" si="15"/>
        <v>#VALUE!</v>
      </c>
      <c r="Q46" s="738"/>
      <c r="R46" s="941"/>
      <c r="S46" s="402" t="e">
        <f t="shared" si="2"/>
        <v>#VALUE!</v>
      </c>
      <c r="T46" s="402" t="e">
        <f t="shared" si="3"/>
        <v>#VALUE!</v>
      </c>
      <c r="U46" s="402" t="e">
        <f t="shared" si="4"/>
        <v>#VALUE!</v>
      </c>
      <c r="V46" s="402" t="e">
        <f t="shared" si="5"/>
        <v>#VALUE!</v>
      </c>
      <c r="W46" s="402" t="e">
        <f t="shared" si="6"/>
        <v>#VALUE!</v>
      </c>
      <c r="X46" s="402" t="e">
        <f t="shared" si="7"/>
        <v>#VALUE!</v>
      </c>
      <c r="Y46" s="402" t="e">
        <f t="shared" si="8"/>
        <v>#VALUE!</v>
      </c>
      <c r="Z46" s="402" t="e">
        <f t="shared" si="9"/>
        <v>#VALUE!</v>
      </c>
      <c r="AA46" s="402" t="e">
        <f t="shared" si="10"/>
        <v>#VALUE!</v>
      </c>
      <c r="AB46" s="669" t="e">
        <f t="shared" si="11"/>
        <v>#VALUE!</v>
      </c>
      <c r="AC46" s="403"/>
    </row>
    <row r="47" spans="2:29" s="121" customFormat="1" outlineLevel="1">
      <c r="B47" s="1822"/>
      <c r="C47" s="1794"/>
      <c r="D47" s="1750" t="s">
        <v>290</v>
      </c>
      <c r="E47" s="1751"/>
      <c r="F47" s="1751"/>
      <c r="G47" s="1752"/>
      <c r="H47" s="834"/>
      <c r="I47" s="1327" t="e">
        <f t="shared" si="0"/>
        <v>#DIV/0!</v>
      </c>
      <c r="J47" s="736" t="s">
        <v>365</v>
      </c>
      <c r="K47" s="736" t="s">
        <v>365</v>
      </c>
      <c r="L47" s="1330" t="str">
        <f t="shared" si="1"/>
        <v>Non renseigné</v>
      </c>
      <c r="M47" s="736" t="str">
        <f t="shared" si="12"/>
        <v>-</v>
      </c>
      <c r="N47" s="822" t="e">
        <f t="shared" si="13"/>
        <v>#VALUE!</v>
      </c>
      <c r="O47" s="733" t="e">
        <f t="shared" si="14"/>
        <v>#VALUE!</v>
      </c>
      <c r="P47" s="822" t="e">
        <f t="shared" si="15"/>
        <v>#VALUE!</v>
      </c>
      <c r="Q47" s="738"/>
      <c r="R47" s="941"/>
      <c r="S47" s="402" t="e">
        <f t="shared" si="2"/>
        <v>#VALUE!</v>
      </c>
      <c r="T47" s="402" t="e">
        <f t="shared" si="3"/>
        <v>#VALUE!</v>
      </c>
      <c r="U47" s="402" t="e">
        <f t="shared" si="4"/>
        <v>#VALUE!</v>
      </c>
      <c r="V47" s="402" t="e">
        <f t="shared" si="5"/>
        <v>#VALUE!</v>
      </c>
      <c r="W47" s="402" t="e">
        <f t="shared" si="6"/>
        <v>#VALUE!</v>
      </c>
      <c r="X47" s="402" t="e">
        <f t="shared" si="7"/>
        <v>#VALUE!</v>
      </c>
      <c r="Y47" s="402" t="e">
        <f t="shared" si="8"/>
        <v>#VALUE!</v>
      </c>
      <c r="Z47" s="402" t="e">
        <f t="shared" si="9"/>
        <v>#VALUE!</v>
      </c>
      <c r="AA47" s="402" t="e">
        <f t="shared" si="10"/>
        <v>#VALUE!</v>
      </c>
      <c r="AB47" s="669" t="e">
        <f t="shared" si="11"/>
        <v>#VALUE!</v>
      </c>
      <c r="AC47" s="403"/>
    </row>
    <row r="48" spans="2:29" s="121" customFormat="1" outlineLevel="1">
      <c r="B48" s="1822"/>
      <c r="C48" s="1794"/>
      <c r="D48" s="1750" t="s">
        <v>290</v>
      </c>
      <c r="E48" s="1751"/>
      <c r="F48" s="1751"/>
      <c r="G48" s="1752"/>
      <c r="H48" s="834"/>
      <c r="I48" s="1327" t="e">
        <f t="shared" si="0"/>
        <v>#DIV/0!</v>
      </c>
      <c r="J48" s="736" t="s">
        <v>365</v>
      </c>
      <c r="K48" s="736" t="s">
        <v>365</v>
      </c>
      <c r="L48" s="1330" t="str">
        <f t="shared" si="1"/>
        <v>Non renseigné</v>
      </c>
      <c r="M48" s="736" t="str">
        <f t="shared" si="12"/>
        <v>-</v>
      </c>
      <c r="N48" s="822" t="e">
        <f t="shared" si="13"/>
        <v>#VALUE!</v>
      </c>
      <c r="O48" s="733" t="e">
        <f t="shared" si="14"/>
        <v>#VALUE!</v>
      </c>
      <c r="P48" s="822" t="e">
        <f t="shared" si="15"/>
        <v>#VALUE!</v>
      </c>
      <c r="Q48" s="738"/>
      <c r="R48" s="941"/>
      <c r="S48" s="402" t="e">
        <f t="shared" si="2"/>
        <v>#VALUE!</v>
      </c>
      <c r="T48" s="402" t="e">
        <f t="shared" si="3"/>
        <v>#VALUE!</v>
      </c>
      <c r="U48" s="402" t="e">
        <f t="shared" si="4"/>
        <v>#VALUE!</v>
      </c>
      <c r="V48" s="402" t="e">
        <f t="shared" si="5"/>
        <v>#VALUE!</v>
      </c>
      <c r="W48" s="402" t="e">
        <f t="shared" si="6"/>
        <v>#VALUE!</v>
      </c>
      <c r="X48" s="402" t="e">
        <f t="shared" si="7"/>
        <v>#VALUE!</v>
      </c>
      <c r="Y48" s="402" t="e">
        <f t="shared" si="8"/>
        <v>#VALUE!</v>
      </c>
      <c r="Z48" s="402" t="e">
        <f t="shared" si="9"/>
        <v>#VALUE!</v>
      </c>
      <c r="AA48" s="402" t="e">
        <f t="shared" si="10"/>
        <v>#VALUE!</v>
      </c>
      <c r="AB48" s="669" t="e">
        <f t="shared" si="11"/>
        <v>#VALUE!</v>
      </c>
      <c r="AC48" s="403"/>
    </row>
    <row r="49" spans="2:29" s="121" customFormat="1" outlineLevel="1">
      <c r="B49" s="1822"/>
      <c r="C49" s="1794"/>
      <c r="D49" s="1750" t="s">
        <v>290</v>
      </c>
      <c r="E49" s="1751"/>
      <c r="F49" s="1751"/>
      <c r="G49" s="1752"/>
      <c r="H49" s="834"/>
      <c r="I49" s="1327" t="e">
        <f t="shared" si="0"/>
        <v>#DIV/0!</v>
      </c>
      <c r="J49" s="736" t="s">
        <v>365</v>
      </c>
      <c r="K49" s="736" t="s">
        <v>365</v>
      </c>
      <c r="L49" s="1330" t="str">
        <f t="shared" ref="L49:L401" si="16">IF(D49="Bâtiments avec mise en service N+1",J49+1,J49)</f>
        <v>Non renseigné</v>
      </c>
      <c r="M49" s="736" t="str">
        <f t="shared" si="12"/>
        <v>-</v>
      </c>
      <c r="N49" s="822" t="e">
        <f t="shared" si="13"/>
        <v>#VALUE!</v>
      </c>
      <c r="O49" s="733" t="e">
        <f t="shared" si="14"/>
        <v>#VALUE!</v>
      </c>
      <c r="P49" s="822" t="e">
        <f t="shared" si="15"/>
        <v>#VALUE!</v>
      </c>
      <c r="Q49" s="738"/>
      <c r="R49" s="941"/>
      <c r="S49" s="402" t="e">
        <f t="shared" ref="S49:S401" si="17">IF($D49="Bâtiments avec mise en service N+1",IF($S$15=$L49,$N49,IF(AND($S$15&gt;$L49,$S$15&lt;$L49+$Q49),$I49,IF($S$15&lt;$L49,"",IF($S$15&gt;$L49+$Q49,"",$P49)))),IF($S$15=$J49,$N49,IF(AND($S$15&gt;$J49,$S$15&lt;$J49+$Q49),$I49,IF($S$15&lt;$J49,"",IF($S$15&gt;$L49+$Q49,"",$P49)))))</f>
        <v>#VALUE!</v>
      </c>
      <c r="T49" s="402" t="e">
        <f t="shared" ref="T49:T401" si="18">IF($D49="Bâtiments avec mise en service N+1",IF($T$15=$L49,$N49,IF(AND($T$15&gt;$L49,$T$15&lt;$L49+$Q49),$I49,IF($T$15&lt;$L49,"",IF($T$15&gt;$L49+$Q49,"",$P49)))),IF($T$15=$J49,$N49,IF(AND($T$15&gt;$J49,$T$15&lt;$J49+$Q49),$I49,IF($T$15&lt;$J49,"",IF($T$15&gt;$L49+$Q49,"",$P49)))))</f>
        <v>#VALUE!</v>
      </c>
      <c r="U49" s="402" t="e">
        <f t="shared" ref="U49:U401" si="19">IF($D49="Bâtiments avec mise en service N+1",IF($U$15=$L49,$N49,IF(AND($U$15&gt;$L49,$U$15&lt;$L49+$Q49),$I49,IF($U$15&lt;$L49,"",IF($U$15&gt;$L49+$Q49,"",$P49)))),IF($U$15=$J49,$N49,IF(AND($U$15&gt;$J49,$U$15&lt;$J49+$Q49),$I49,IF($U$15&lt;$J49,"",IF($U$15&gt;$L49+$Q49,"",$P49)))))</f>
        <v>#VALUE!</v>
      </c>
      <c r="V49" s="402" t="e">
        <f t="shared" ref="V49:V401" si="20">IF($D49="Bâtiments avec mise en service N+1",IF($V$15=$L49,$N49,IF(AND($V$15&gt;$L49,$V$15&lt;$L49+$Q49),$I49,IF($V$15&lt;$L49,"",IF($V$15&gt;$L49+$Q49,"",$P49)))),IF($V$15=$J49,$N49,IF(AND($V$15&gt;$J49,$V$15&lt;$J49+$Q49),$I49,IF($V$15&lt;$J49,"",IF($V$15&gt;$L49+$Q49,"",$P49)))))</f>
        <v>#VALUE!</v>
      </c>
      <c r="W49" s="402" t="e">
        <f t="shared" ref="W49:W401" si="21">IF($D49="Bâtiments avec mise en service N+1",IF($W$15=$L49,$N49,IF(AND($W$15&gt;$L49,$W$15&lt;$L49+$Q49),$I49,IF($W$15&lt;$L49,"",IF($W$15&gt;$L49+$Q49,"",$P49)))),IF($W$15=$J49,$N49,IF(AND($W$15&gt;$J49,$W$15&lt;$J49+$Q49),$I49,IF($W$15&lt;$J49,"",IF($W$15&gt;$L49+$Q49,"",$P49)))))</f>
        <v>#VALUE!</v>
      </c>
      <c r="X49" s="402" t="e">
        <f t="shared" ref="X49:X401" si="22">IF($D49="Bâtiments avec mise en service N+1",IF($X$15=$L49,$N49,IF(AND($X$15&gt;$L49,$X$15&lt;$L49+$Q49),$I49,IF($X$15&lt;$L49,"",IF($X$15&gt;$L49+$Q49,"",$P49)))),IF($X$15=$J49,$N49,IF(AND($X$15&gt;$J49,$X$15&lt;$J49+$Q49),$I49,IF($X$15&lt;$J49,"",IF($X$15&gt;$L49+$Q49,"",$P49)))))</f>
        <v>#VALUE!</v>
      </c>
      <c r="Y49" s="402" t="e">
        <f t="shared" ref="Y49:Y401" si="23">IF($D49="Bâtiments avec mise en service N+1",IF($Y$15=$L49,$N49,IF(AND($Y$15&gt;$L49,$Y$15&lt;$L49+$Q49),$I49,IF($Y$15&lt;$L49,"",IF($Y$15&gt;$L49+$Q49,"",$P49)))),IF($Y$15=$J49,$N49,IF(AND($Y$15&gt;$J49,$Y$15&lt;$J49+$Q49),$I49,IF($Y$15&lt;$J49,"",IF($Y$15&gt;$L49+$Q49,"",$P49)))))</f>
        <v>#VALUE!</v>
      </c>
      <c r="Z49" s="402" t="e">
        <f t="shared" ref="Z49:Z401" si="24">IF($D49="Bâtiments avec mise en service N+1",IF($Z$15=$L49,$N49,IF(AND($Z$15&gt;$L49,$Z$15&lt;$L49+$Q49),$I49,IF($Z$15&lt;$L49,"",IF($Z$15&gt;$L49+$Q49,"",$P49)))),IF($Z$15=$J49,$N49,IF(AND($Z$15&gt;$J49,$Z$15&lt;$J49+$Q49),$I49,IF($Z$15&lt;$J49,"",IF($Z$15&gt;$L49+$Q49,"",$P49)))))</f>
        <v>#VALUE!</v>
      </c>
      <c r="AA49" s="402" t="e">
        <f t="shared" ref="AA49:AA401" si="25">IF($D49="Bâtiments avec mise en service N+1",IF($AA$15=$L49,$N49,IF(AND($AA$15&gt;$L49,$AA$15&lt;$L49+$Q49),$I49,IF($AA$15&lt;$L49,"",IF($AA$15&gt;$L49+$Q49,"",$P49)))),IF($AA$15=$J49,$N49,IF(AND($AA$15&gt;$J49,$AA$15&lt;$J49+$Q49),$I49,IF($AA$15&lt;$J49,"",IF($AA$15&gt;$L49+$Q49,"",$P49)))))</f>
        <v>#VALUE!</v>
      </c>
      <c r="AB49" s="669" t="e">
        <f t="shared" ref="AB49:AB401" si="26">IF($D49="Bâtiments avec mise en service N+1",IF($AB$15=$L49,$N49,IF(AND($AB$15&gt;$L49,$AB$15&lt;$L49+$Q49),$I49,IF($AB$15&lt;$L49,"",IF($AB$15&gt;$L49+$Q49,"",$P49)))),IF($AB$15=$J49,$N49,IF(AND($AB$15&gt;$J49,$AB$15&lt;$J49+$Q49),$I49,IF($AB$15&lt;$J49,"",IF($AB$15&gt;$L49+$Q49,"",$P49)))))</f>
        <v>#VALUE!</v>
      </c>
      <c r="AC49" s="403"/>
    </row>
    <row r="50" spans="2:29" s="121" customFormat="1" outlineLevel="1">
      <c r="B50" s="1822"/>
      <c r="C50" s="1794"/>
      <c r="D50" s="1750" t="s">
        <v>290</v>
      </c>
      <c r="E50" s="1751"/>
      <c r="F50" s="1751"/>
      <c r="G50" s="1752"/>
      <c r="H50" s="834"/>
      <c r="I50" s="1327" t="e">
        <f t="shared" si="0"/>
        <v>#DIV/0!</v>
      </c>
      <c r="J50" s="736" t="s">
        <v>365</v>
      </c>
      <c r="K50" s="736" t="s">
        <v>365</v>
      </c>
      <c r="L50" s="1330" t="str">
        <f t="shared" si="16"/>
        <v>Non renseigné</v>
      </c>
      <c r="M50" s="736" t="str">
        <f t="shared" si="12"/>
        <v>-</v>
      </c>
      <c r="N50" s="822" t="e">
        <f t="shared" si="13"/>
        <v>#VALUE!</v>
      </c>
      <c r="O50" s="733" t="e">
        <f t="shared" si="14"/>
        <v>#VALUE!</v>
      </c>
      <c r="P50" s="822" t="e">
        <f t="shared" si="15"/>
        <v>#VALUE!</v>
      </c>
      <c r="Q50" s="738"/>
      <c r="R50" s="941"/>
      <c r="S50" s="402" t="e">
        <f t="shared" si="17"/>
        <v>#VALUE!</v>
      </c>
      <c r="T50" s="402" t="e">
        <f t="shared" si="18"/>
        <v>#VALUE!</v>
      </c>
      <c r="U50" s="402" t="e">
        <f t="shared" si="19"/>
        <v>#VALUE!</v>
      </c>
      <c r="V50" s="402" t="e">
        <f t="shared" si="20"/>
        <v>#VALUE!</v>
      </c>
      <c r="W50" s="402" t="e">
        <f t="shared" si="21"/>
        <v>#VALUE!</v>
      </c>
      <c r="X50" s="402" t="e">
        <f t="shared" si="22"/>
        <v>#VALUE!</v>
      </c>
      <c r="Y50" s="402" t="e">
        <f t="shared" si="23"/>
        <v>#VALUE!</v>
      </c>
      <c r="Z50" s="402" t="e">
        <f t="shared" si="24"/>
        <v>#VALUE!</v>
      </c>
      <c r="AA50" s="402" t="e">
        <f t="shared" si="25"/>
        <v>#VALUE!</v>
      </c>
      <c r="AB50" s="669" t="e">
        <f t="shared" si="26"/>
        <v>#VALUE!</v>
      </c>
      <c r="AC50" s="403"/>
    </row>
    <row r="51" spans="2:29" s="121" customFormat="1" outlineLevel="1">
      <c r="B51" s="1822"/>
      <c r="C51" s="1794"/>
      <c r="D51" s="1750" t="s">
        <v>290</v>
      </c>
      <c r="E51" s="1751"/>
      <c r="F51" s="1751"/>
      <c r="G51" s="1752"/>
      <c r="H51" s="834"/>
      <c r="I51" s="1327" t="e">
        <f t="shared" si="0"/>
        <v>#DIV/0!</v>
      </c>
      <c r="J51" s="736" t="s">
        <v>365</v>
      </c>
      <c r="K51" s="736" t="s">
        <v>365</v>
      </c>
      <c r="L51" s="1330" t="str">
        <f t="shared" si="16"/>
        <v>Non renseigné</v>
      </c>
      <c r="M51" s="736" t="str">
        <f t="shared" si="12"/>
        <v>-</v>
      </c>
      <c r="N51" s="822" t="e">
        <f t="shared" si="13"/>
        <v>#VALUE!</v>
      </c>
      <c r="O51" s="733" t="e">
        <f t="shared" si="14"/>
        <v>#VALUE!</v>
      </c>
      <c r="P51" s="822" t="e">
        <f t="shared" si="15"/>
        <v>#VALUE!</v>
      </c>
      <c r="Q51" s="738"/>
      <c r="R51" s="941"/>
      <c r="S51" s="402" t="e">
        <f t="shared" si="17"/>
        <v>#VALUE!</v>
      </c>
      <c r="T51" s="402" t="e">
        <f t="shared" si="18"/>
        <v>#VALUE!</v>
      </c>
      <c r="U51" s="402" t="e">
        <f t="shared" si="19"/>
        <v>#VALUE!</v>
      </c>
      <c r="V51" s="402" t="e">
        <f t="shared" si="20"/>
        <v>#VALUE!</v>
      </c>
      <c r="W51" s="402" t="e">
        <f t="shared" si="21"/>
        <v>#VALUE!</v>
      </c>
      <c r="X51" s="402" t="e">
        <f t="shared" si="22"/>
        <v>#VALUE!</v>
      </c>
      <c r="Y51" s="402" t="e">
        <f t="shared" si="23"/>
        <v>#VALUE!</v>
      </c>
      <c r="Z51" s="402" t="e">
        <f t="shared" si="24"/>
        <v>#VALUE!</v>
      </c>
      <c r="AA51" s="402" t="e">
        <f t="shared" si="25"/>
        <v>#VALUE!</v>
      </c>
      <c r="AB51" s="669" t="e">
        <f t="shared" si="26"/>
        <v>#VALUE!</v>
      </c>
      <c r="AC51" s="403"/>
    </row>
    <row r="52" spans="2:29" s="121" customFormat="1" outlineLevel="1">
      <c r="B52" s="1822"/>
      <c r="C52" s="1794"/>
      <c r="D52" s="1750" t="s">
        <v>290</v>
      </c>
      <c r="E52" s="1751"/>
      <c r="F52" s="1751"/>
      <c r="G52" s="1752"/>
      <c r="H52" s="834"/>
      <c r="I52" s="1327" t="e">
        <f t="shared" si="0"/>
        <v>#DIV/0!</v>
      </c>
      <c r="J52" s="736" t="s">
        <v>365</v>
      </c>
      <c r="K52" s="736" t="s">
        <v>365</v>
      </c>
      <c r="L52" s="1330" t="str">
        <f t="shared" si="16"/>
        <v>Non renseigné</v>
      </c>
      <c r="M52" s="736" t="str">
        <f t="shared" si="12"/>
        <v>-</v>
      </c>
      <c r="N52" s="822" t="e">
        <f t="shared" si="13"/>
        <v>#VALUE!</v>
      </c>
      <c r="O52" s="733" t="e">
        <f t="shared" si="14"/>
        <v>#VALUE!</v>
      </c>
      <c r="P52" s="822" t="e">
        <f t="shared" si="15"/>
        <v>#VALUE!</v>
      </c>
      <c r="Q52" s="738"/>
      <c r="R52" s="941"/>
      <c r="S52" s="402" t="e">
        <f t="shared" si="17"/>
        <v>#VALUE!</v>
      </c>
      <c r="T52" s="402" t="e">
        <f t="shared" si="18"/>
        <v>#VALUE!</v>
      </c>
      <c r="U52" s="402" t="e">
        <f t="shared" si="19"/>
        <v>#VALUE!</v>
      </c>
      <c r="V52" s="402" t="e">
        <f t="shared" si="20"/>
        <v>#VALUE!</v>
      </c>
      <c r="W52" s="402" t="e">
        <f t="shared" si="21"/>
        <v>#VALUE!</v>
      </c>
      <c r="X52" s="402" t="e">
        <f t="shared" si="22"/>
        <v>#VALUE!</v>
      </c>
      <c r="Y52" s="402" t="e">
        <f t="shared" si="23"/>
        <v>#VALUE!</v>
      </c>
      <c r="Z52" s="402" t="e">
        <f t="shared" si="24"/>
        <v>#VALUE!</v>
      </c>
      <c r="AA52" s="402" t="e">
        <f t="shared" si="25"/>
        <v>#VALUE!</v>
      </c>
      <c r="AB52" s="669" t="e">
        <f t="shared" si="26"/>
        <v>#VALUE!</v>
      </c>
      <c r="AC52" s="403"/>
    </row>
    <row r="53" spans="2:29" s="121" customFormat="1" outlineLevel="1">
      <c r="B53" s="1822"/>
      <c r="C53" s="1794"/>
      <c r="D53" s="1750" t="s">
        <v>290</v>
      </c>
      <c r="E53" s="1751"/>
      <c r="F53" s="1751"/>
      <c r="G53" s="1752"/>
      <c r="H53" s="834"/>
      <c r="I53" s="1327" t="e">
        <f t="shared" si="0"/>
        <v>#DIV/0!</v>
      </c>
      <c r="J53" s="736" t="s">
        <v>365</v>
      </c>
      <c r="K53" s="736" t="s">
        <v>365</v>
      </c>
      <c r="L53" s="1330" t="str">
        <f t="shared" si="16"/>
        <v>Non renseigné</v>
      </c>
      <c r="M53" s="736" t="str">
        <f t="shared" si="12"/>
        <v>-</v>
      </c>
      <c r="N53" s="822" t="e">
        <f t="shared" si="13"/>
        <v>#VALUE!</v>
      </c>
      <c r="O53" s="733" t="e">
        <f t="shared" si="14"/>
        <v>#VALUE!</v>
      </c>
      <c r="P53" s="822" t="e">
        <f t="shared" si="15"/>
        <v>#VALUE!</v>
      </c>
      <c r="Q53" s="738"/>
      <c r="R53" s="941"/>
      <c r="S53" s="402" t="e">
        <f t="shared" si="17"/>
        <v>#VALUE!</v>
      </c>
      <c r="T53" s="402" t="e">
        <f t="shared" si="18"/>
        <v>#VALUE!</v>
      </c>
      <c r="U53" s="402" t="e">
        <f t="shared" si="19"/>
        <v>#VALUE!</v>
      </c>
      <c r="V53" s="402" t="e">
        <f t="shared" si="20"/>
        <v>#VALUE!</v>
      </c>
      <c r="W53" s="402" t="e">
        <f t="shared" si="21"/>
        <v>#VALUE!</v>
      </c>
      <c r="X53" s="402" t="e">
        <f t="shared" si="22"/>
        <v>#VALUE!</v>
      </c>
      <c r="Y53" s="402" t="e">
        <f t="shared" si="23"/>
        <v>#VALUE!</v>
      </c>
      <c r="Z53" s="402" t="e">
        <f t="shared" si="24"/>
        <v>#VALUE!</v>
      </c>
      <c r="AA53" s="402" t="e">
        <f t="shared" si="25"/>
        <v>#VALUE!</v>
      </c>
      <c r="AB53" s="669" t="e">
        <f t="shared" si="26"/>
        <v>#VALUE!</v>
      </c>
      <c r="AC53" s="403"/>
    </row>
    <row r="54" spans="2:29" s="121" customFormat="1" outlineLevel="1">
      <c r="B54" s="1822"/>
      <c r="C54" s="1794"/>
      <c r="D54" s="1750" t="s">
        <v>290</v>
      </c>
      <c r="E54" s="1751"/>
      <c r="F54" s="1751"/>
      <c r="G54" s="1752"/>
      <c r="H54" s="834"/>
      <c r="I54" s="1327" t="e">
        <f t="shared" si="0"/>
        <v>#DIV/0!</v>
      </c>
      <c r="J54" s="736" t="s">
        <v>365</v>
      </c>
      <c r="K54" s="736" t="s">
        <v>365</v>
      </c>
      <c r="L54" s="1330" t="str">
        <f t="shared" si="16"/>
        <v>Non renseigné</v>
      </c>
      <c r="M54" s="736" t="str">
        <f t="shared" si="12"/>
        <v>-</v>
      </c>
      <c r="N54" s="822" t="e">
        <f t="shared" si="13"/>
        <v>#VALUE!</v>
      </c>
      <c r="O54" s="733" t="e">
        <f t="shared" si="14"/>
        <v>#VALUE!</v>
      </c>
      <c r="P54" s="822" t="e">
        <f t="shared" si="15"/>
        <v>#VALUE!</v>
      </c>
      <c r="Q54" s="738"/>
      <c r="R54" s="941"/>
      <c r="S54" s="402" t="e">
        <f t="shared" si="17"/>
        <v>#VALUE!</v>
      </c>
      <c r="T54" s="402" t="e">
        <f t="shared" si="18"/>
        <v>#VALUE!</v>
      </c>
      <c r="U54" s="402" t="e">
        <f t="shared" si="19"/>
        <v>#VALUE!</v>
      </c>
      <c r="V54" s="402" t="e">
        <f t="shared" si="20"/>
        <v>#VALUE!</v>
      </c>
      <c r="W54" s="402" t="e">
        <f t="shared" si="21"/>
        <v>#VALUE!</v>
      </c>
      <c r="X54" s="402" t="e">
        <f t="shared" si="22"/>
        <v>#VALUE!</v>
      </c>
      <c r="Y54" s="402" t="e">
        <f t="shared" si="23"/>
        <v>#VALUE!</v>
      </c>
      <c r="Z54" s="402" t="e">
        <f t="shared" si="24"/>
        <v>#VALUE!</v>
      </c>
      <c r="AA54" s="402" t="e">
        <f t="shared" si="25"/>
        <v>#VALUE!</v>
      </c>
      <c r="AB54" s="669" t="e">
        <f t="shared" si="26"/>
        <v>#VALUE!</v>
      </c>
      <c r="AC54" s="403"/>
    </row>
    <row r="55" spans="2:29" s="121" customFormat="1" outlineLevel="1">
      <c r="B55" s="1822"/>
      <c r="C55" s="1794"/>
      <c r="D55" s="1750" t="s">
        <v>290</v>
      </c>
      <c r="E55" s="1751"/>
      <c r="F55" s="1751"/>
      <c r="G55" s="1752"/>
      <c r="H55" s="834"/>
      <c r="I55" s="1327" t="e">
        <f t="shared" si="0"/>
        <v>#DIV/0!</v>
      </c>
      <c r="J55" s="736" t="s">
        <v>365</v>
      </c>
      <c r="K55" s="736" t="s">
        <v>365</v>
      </c>
      <c r="L55" s="1330" t="str">
        <f t="shared" si="16"/>
        <v>Non renseigné</v>
      </c>
      <c r="M55" s="736" t="str">
        <f t="shared" si="12"/>
        <v>-</v>
      </c>
      <c r="N55" s="822" t="e">
        <f t="shared" si="13"/>
        <v>#VALUE!</v>
      </c>
      <c r="O55" s="733" t="e">
        <f t="shared" si="14"/>
        <v>#VALUE!</v>
      </c>
      <c r="P55" s="822" t="e">
        <f t="shared" si="15"/>
        <v>#VALUE!</v>
      </c>
      <c r="Q55" s="738"/>
      <c r="R55" s="941"/>
      <c r="S55" s="402" t="e">
        <f t="shared" si="17"/>
        <v>#VALUE!</v>
      </c>
      <c r="T55" s="402" t="e">
        <f t="shared" si="18"/>
        <v>#VALUE!</v>
      </c>
      <c r="U55" s="402" t="e">
        <f t="shared" si="19"/>
        <v>#VALUE!</v>
      </c>
      <c r="V55" s="402" t="e">
        <f t="shared" si="20"/>
        <v>#VALUE!</v>
      </c>
      <c r="W55" s="402" t="e">
        <f t="shared" si="21"/>
        <v>#VALUE!</v>
      </c>
      <c r="X55" s="402" t="e">
        <f t="shared" si="22"/>
        <v>#VALUE!</v>
      </c>
      <c r="Y55" s="402" t="e">
        <f t="shared" si="23"/>
        <v>#VALUE!</v>
      </c>
      <c r="Z55" s="402" t="e">
        <f t="shared" si="24"/>
        <v>#VALUE!</v>
      </c>
      <c r="AA55" s="402" t="e">
        <f t="shared" si="25"/>
        <v>#VALUE!</v>
      </c>
      <c r="AB55" s="669" t="e">
        <f t="shared" si="26"/>
        <v>#VALUE!</v>
      </c>
      <c r="AC55" s="403"/>
    </row>
    <row r="56" spans="2:29" s="121" customFormat="1" outlineLevel="1">
      <c r="B56" s="1822"/>
      <c r="C56" s="1794"/>
      <c r="D56" s="1750" t="s">
        <v>290</v>
      </c>
      <c r="E56" s="1751"/>
      <c r="F56" s="1751"/>
      <c r="G56" s="1752"/>
      <c r="H56" s="834"/>
      <c r="I56" s="1327" t="e">
        <f t="shared" si="0"/>
        <v>#DIV/0!</v>
      </c>
      <c r="J56" s="736" t="s">
        <v>365</v>
      </c>
      <c r="K56" s="736" t="s">
        <v>365</v>
      </c>
      <c r="L56" s="1330" t="str">
        <f t="shared" si="16"/>
        <v>Non renseigné</v>
      </c>
      <c r="M56" s="736" t="str">
        <f t="shared" si="12"/>
        <v>-</v>
      </c>
      <c r="N56" s="822" t="e">
        <f t="shared" si="13"/>
        <v>#VALUE!</v>
      </c>
      <c r="O56" s="733" t="e">
        <f t="shared" si="14"/>
        <v>#VALUE!</v>
      </c>
      <c r="P56" s="822" t="e">
        <f t="shared" si="15"/>
        <v>#VALUE!</v>
      </c>
      <c r="Q56" s="738"/>
      <c r="R56" s="941"/>
      <c r="S56" s="402" t="e">
        <f t="shared" si="17"/>
        <v>#VALUE!</v>
      </c>
      <c r="T56" s="402" t="e">
        <f t="shared" si="18"/>
        <v>#VALUE!</v>
      </c>
      <c r="U56" s="402" t="e">
        <f t="shared" si="19"/>
        <v>#VALUE!</v>
      </c>
      <c r="V56" s="402" t="e">
        <f t="shared" si="20"/>
        <v>#VALUE!</v>
      </c>
      <c r="W56" s="402" t="e">
        <f t="shared" si="21"/>
        <v>#VALUE!</v>
      </c>
      <c r="X56" s="402" t="e">
        <f t="shared" si="22"/>
        <v>#VALUE!</v>
      </c>
      <c r="Y56" s="402" t="e">
        <f t="shared" si="23"/>
        <v>#VALUE!</v>
      </c>
      <c r="Z56" s="402" t="e">
        <f t="shared" si="24"/>
        <v>#VALUE!</v>
      </c>
      <c r="AA56" s="402" t="e">
        <f t="shared" si="25"/>
        <v>#VALUE!</v>
      </c>
      <c r="AB56" s="669" t="e">
        <f t="shared" si="26"/>
        <v>#VALUE!</v>
      </c>
      <c r="AC56" s="403"/>
    </row>
    <row r="57" spans="2:29" s="121" customFormat="1" outlineLevel="1">
      <c r="B57" s="1822"/>
      <c r="C57" s="1794"/>
      <c r="D57" s="1750" t="s">
        <v>290</v>
      </c>
      <c r="E57" s="1751"/>
      <c r="F57" s="1751"/>
      <c r="G57" s="1752"/>
      <c r="H57" s="834"/>
      <c r="I57" s="1327" t="e">
        <f t="shared" si="0"/>
        <v>#DIV/0!</v>
      </c>
      <c r="J57" s="736" t="s">
        <v>365</v>
      </c>
      <c r="K57" s="736" t="s">
        <v>365</v>
      </c>
      <c r="L57" s="1330" t="str">
        <f t="shared" si="16"/>
        <v>Non renseigné</v>
      </c>
      <c r="M57" s="736" t="str">
        <f t="shared" si="12"/>
        <v>-</v>
      </c>
      <c r="N57" s="822" t="e">
        <f t="shared" si="13"/>
        <v>#VALUE!</v>
      </c>
      <c r="O57" s="733" t="e">
        <f t="shared" si="14"/>
        <v>#VALUE!</v>
      </c>
      <c r="P57" s="822" t="e">
        <f t="shared" si="15"/>
        <v>#VALUE!</v>
      </c>
      <c r="Q57" s="738"/>
      <c r="R57" s="941"/>
      <c r="S57" s="402" t="e">
        <f t="shared" si="17"/>
        <v>#VALUE!</v>
      </c>
      <c r="T57" s="402" t="e">
        <f t="shared" si="18"/>
        <v>#VALUE!</v>
      </c>
      <c r="U57" s="402" t="e">
        <f t="shared" si="19"/>
        <v>#VALUE!</v>
      </c>
      <c r="V57" s="402" t="e">
        <f t="shared" si="20"/>
        <v>#VALUE!</v>
      </c>
      <c r="W57" s="402" t="e">
        <f t="shared" si="21"/>
        <v>#VALUE!</v>
      </c>
      <c r="X57" s="402" t="e">
        <f t="shared" si="22"/>
        <v>#VALUE!</v>
      </c>
      <c r="Y57" s="402" t="e">
        <f t="shared" si="23"/>
        <v>#VALUE!</v>
      </c>
      <c r="Z57" s="402" t="e">
        <f t="shared" si="24"/>
        <v>#VALUE!</v>
      </c>
      <c r="AA57" s="402" t="e">
        <f t="shared" si="25"/>
        <v>#VALUE!</v>
      </c>
      <c r="AB57" s="669" t="e">
        <f t="shared" si="26"/>
        <v>#VALUE!</v>
      </c>
      <c r="AC57" s="403"/>
    </row>
    <row r="58" spans="2:29" s="121" customFormat="1" outlineLevel="1">
      <c r="B58" s="1822"/>
      <c r="C58" s="1794"/>
      <c r="D58" s="1750" t="s">
        <v>290</v>
      </c>
      <c r="E58" s="1751"/>
      <c r="F58" s="1751"/>
      <c r="G58" s="1752"/>
      <c r="H58" s="834"/>
      <c r="I58" s="1327" t="e">
        <f t="shared" si="0"/>
        <v>#DIV/0!</v>
      </c>
      <c r="J58" s="736" t="s">
        <v>365</v>
      </c>
      <c r="K58" s="736" t="s">
        <v>365</v>
      </c>
      <c r="L58" s="1330" t="str">
        <f t="shared" si="16"/>
        <v>Non renseigné</v>
      </c>
      <c r="M58" s="736" t="str">
        <f t="shared" si="12"/>
        <v>-</v>
      </c>
      <c r="N58" s="822" t="e">
        <f t="shared" si="13"/>
        <v>#VALUE!</v>
      </c>
      <c r="O58" s="733" t="e">
        <f t="shared" si="14"/>
        <v>#VALUE!</v>
      </c>
      <c r="P58" s="822" t="e">
        <f t="shared" si="15"/>
        <v>#VALUE!</v>
      </c>
      <c r="Q58" s="738"/>
      <c r="R58" s="941"/>
      <c r="S58" s="402" t="e">
        <f t="shared" si="17"/>
        <v>#VALUE!</v>
      </c>
      <c r="T58" s="402" t="e">
        <f t="shared" si="18"/>
        <v>#VALUE!</v>
      </c>
      <c r="U58" s="402" t="e">
        <f t="shared" si="19"/>
        <v>#VALUE!</v>
      </c>
      <c r="V58" s="402" t="e">
        <f t="shared" si="20"/>
        <v>#VALUE!</v>
      </c>
      <c r="W58" s="402" t="e">
        <f t="shared" si="21"/>
        <v>#VALUE!</v>
      </c>
      <c r="X58" s="402" t="e">
        <f t="shared" si="22"/>
        <v>#VALUE!</v>
      </c>
      <c r="Y58" s="402" t="e">
        <f t="shared" si="23"/>
        <v>#VALUE!</v>
      </c>
      <c r="Z58" s="402" t="e">
        <f t="shared" si="24"/>
        <v>#VALUE!</v>
      </c>
      <c r="AA58" s="402" t="e">
        <f t="shared" si="25"/>
        <v>#VALUE!</v>
      </c>
      <c r="AB58" s="669" t="e">
        <f t="shared" si="26"/>
        <v>#VALUE!</v>
      </c>
      <c r="AC58" s="403"/>
    </row>
    <row r="59" spans="2:29" s="121" customFormat="1" outlineLevel="1">
      <c r="B59" s="1822"/>
      <c r="C59" s="1794"/>
      <c r="D59" s="1750" t="s">
        <v>290</v>
      </c>
      <c r="E59" s="1751"/>
      <c r="F59" s="1751"/>
      <c r="G59" s="1752"/>
      <c r="H59" s="834"/>
      <c r="I59" s="1327" t="e">
        <f t="shared" si="0"/>
        <v>#DIV/0!</v>
      </c>
      <c r="J59" s="736" t="s">
        <v>365</v>
      </c>
      <c r="K59" s="736" t="s">
        <v>365</v>
      </c>
      <c r="L59" s="1330" t="str">
        <f t="shared" si="16"/>
        <v>Non renseigné</v>
      </c>
      <c r="M59" s="736" t="str">
        <f t="shared" si="12"/>
        <v>-</v>
      </c>
      <c r="N59" s="822" t="e">
        <f t="shared" si="13"/>
        <v>#VALUE!</v>
      </c>
      <c r="O59" s="733" t="e">
        <f t="shared" si="14"/>
        <v>#VALUE!</v>
      </c>
      <c r="P59" s="822" t="e">
        <f t="shared" si="15"/>
        <v>#VALUE!</v>
      </c>
      <c r="Q59" s="738"/>
      <c r="R59" s="941"/>
      <c r="S59" s="402" t="e">
        <f t="shared" si="17"/>
        <v>#VALUE!</v>
      </c>
      <c r="T59" s="402" t="e">
        <f t="shared" si="18"/>
        <v>#VALUE!</v>
      </c>
      <c r="U59" s="402" t="e">
        <f t="shared" si="19"/>
        <v>#VALUE!</v>
      </c>
      <c r="V59" s="402" t="e">
        <f t="shared" si="20"/>
        <v>#VALUE!</v>
      </c>
      <c r="W59" s="402" t="e">
        <f t="shared" si="21"/>
        <v>#VALUE!</v>
      </c>
      <c r="X59" s="402" t="e">
        <f t="shared" si="22"/>
        <v>#VALUE!</v>
      </c>
      <c r="Y59" s="402" t="e">
        <f t="shared" si="23"/>
        <v>#VALUE!</v>
      </c>
      <c r="Z59" s="402" t="e">
        <f t="shared" si="24"/>
        <v>#VALUE!</v>
      </c>
      <c r="AA59" s="402" t="e">
        <f t="shared" si="25"/>
        <v>#VALUE!</v>
      </c>
      <c r="AB59" s="669" t="e">
        <f t="shared" si="26"/>
        <v>#VALUE!</v>
      </c>
      <c r="AC59" s="403"/>
    </row>
    <row r="60" spans="2:29" s="121" customFormat="1" outlineLevel="1">
      <c r="B60" s="1822"/>
      <c r="C60" s="1794"/>
      <c r="D60" s="1750" t="s">
        <v>290</v>
      </c>
      <c r="E60" s="1751"/>
      <c r="F60" s="1751"/>
      <c r="G60" s="1752"/>
      <c r="H60" s="834"/>
      <c r="I60" s="1327" t="e">
        <f t="shared" si="0"/>
        <v>#DIV/0!</v>
      </c>
      <c r="J60" s="736" t="s">
        <v>365</v>
      </c>
      <c r="K60" s="736" t="s">
        <v>365</v>
      </c>
      <c r="L60" s="1330" t="str">
        <f t="shared" si="16"/>
        <v>Non renseigné</v>
      </c>
      <c r="M60" s="736" t="str">
        <f t="shared" si="12"/>
        <v>-</v>
      </c>
      <c r="N60" s="822" t="e">
        <f t="shared" si="13"/>
        <v>#VALUE!</v>
      </c>
      <c r="O60" s="733" t="e">
        <f t="shared" si="14"/>
        <v>#VALUE!</v>
      </c>
      <c r="P60" s="822" t="e">
        <f t="shared" si="15"/>
        <v>#VALUE!</v>
      </c>
      <c r="Q60" s="738"/>
      <c r="R60" s="941"/>
      <c r="S60" s="402" t="e">
        <f t="shared" si="17"/>
        <v>#VALUE!</v>
      </c>
      <c r="T60" s="402" t="e">
        <f t="shared" si="18"/>
        <v>#VALUE!</v>
      </c>
      <c r="U60" s="402" t="e">
        <f t="shared" si="19"/>
        <v>#VALUE!</v>
      </c>
      <c r="V60" s="402" t="e">
        <f t="shared" si="20"/>
        <v>#VALUE!</v>
      </c>
      <c r="W60" s="402" t="e">
        <f t="shared" si="21"/>
        <v>#VALUE!</v>
      </c>
      <c r="X60" s="402" t="e">
        <f t="shared" si="22"/>
        <v>#VALUE!</v>
      </c>
      <c r="Y60" s="402" t="e">
        <f t="shared" si="23"/>
        <v>#VALUE!</v>
      </c>
      <c r="Z60" s="402" t="e">
        <f t="shared" si="24"/>
        <v>#VALUE!</v>
      </c>
      <c r="AA60" s="402" t="e">
        <f t="shared" si="25"/>
        <v>#VALUE!</v>
      </c>
      <c r="AB60" s="669" t="e">
        <f t="shared" si="26"/>
        <v>#VALUE!</v>
      </c>
      <c r="AC60" s="403"/>
    </row>
    <row r="61" spans="2:29" s="121" customFormat="1" outlineLevel="1">
      <c r="B61" s="1822"/>
      <c r="C61" s="1794"/>
      <c r="D61" s="1750" t="s">
        <v>290</v>
      </c>
      <c r="E61" s="1751"/>
      <c r="F61" s="1751"/>
      <c r="G61" s="1752"/>
      <c r="H61" s="834"/>
      <c r="I61" s="1327" t="e">
        <f t="shared" si="0"/>
        <v>#DIV/0!</v>
      </c>
      <c r="J61" s="736" t="s">
        <v>365</v>
      </c>
      <c r="K61" s="736" t="s">
        <v>365</v>
      </c>
      <c r="L61" s="1330" t="str">
        <f t="shared" si="16"/>
        <v>Non renseigné</v>
      </c>
      <c r="M61" s="736" t="str">
        <f t="shared" si="12"/>
        <v>-</v>
      </c>
      <c r="N61" s="822" t="e">
        <f t="shared" si="13"/>
        <v>#VALUE!</v>
      </c>
      <c r="O61" s="733" t="e">
        <f t="shared" si="14"/>
        <v>#VALUE!</v>
      </c>
      <c r="P61" s="822" t="e">
        <f t="shared" si="15"/>
        <v>#VALUE!</v>
      </c>
      <c r="Q61" s="738"/>
      <c r="R61" s="941"/>
      <c r="S61" s="402" t="e">
        <f t="shared" si="17"/>
        <v>#VALUE!</v>
      </c>
      <c r="T61" s="402" t="e">
        <f t="shared" si="18"/>
        <v>#VALUE!</v>
      </c>
      <c r="U61" s="402" t="e">
        <f t="shared" si="19"/>
        <v>#VALUE!</v>
      </c>
      <c r="V61" s="402" t="e">
        <f t="shared" si="20"/>
        <v>#VALUE!</v>
      </c>
      <c r="W61" s="402" t="e">
        <f t="shared" si="21"/>
        <v>#VALUE!</v>
      </c>
      <c r="X61" s="402" t="e">
        <f t="shared" si="22"/>
        <v>#VALUE!</v>
      </c>
      <c r="Y61" s="402" t="e">
        <f t="shared" si="23"/>
        <v>#VALUE!</v>
      </c>
      <c r="Z61" s="402" t="e">
        <f t="shared" si="24"/>
        <v>#VALUE!</v>
      </c>
      <c r="AA61" s="402" t="e">
        <f t="shared" si="25"/>
        <v>#VALUE!</v>
      </c>
      <c r="AB61" s="669" t="e">
        <f t="shared" si="26"/>
        <v>#VALUE!</v>
      </c>
      <c r="AC61" s="403"/>
    </row>
    <row r="62" spans="2:29" s="121" customFormat="1" outlineLevel="1">
      <c r="B62" s="1822"/>
      <c r="C62" s="1794"/>
      <c r="D62" s="1750" t="s">
        <v>290</v>
      </c>
      <c r="E62" s="1751"/>
      <c r="F62" s="1751"/>
      <c r="G62" s="1752"/>
      <c r="H62" s="834"/>
      <c r="I62" s="1327" t="e">
        <f t="shared" si="0"/>
        <v>#DIV/0!</v>
      </c>
      <c r="J62" s="736" t="s">
        <v>365</v>
      </c>
      <c r="K62" s="736" t="s">
        <v>365</v>
      </c>
      <c r="L62" s="1330" t="str">
        <f t="shared" si="16"/>
        <v>Non renseigné</v>
      </c>
      <c r="M62" s="736" t="str">
        <f t="shared" si="12"/>
        <v>-</v>
      </c>
      <c r="N62" s="822" t="e">
        <f t="shared" si="13"/>
        <v>#VALUE!</v>
      </c>
      <c r="O62" s="733" t="e">
        <f t="shared" si="14"/>
        <v>#VALUE!</v>
      </c>
      <c r="P62" s="822" t="e">
        <f t="shared" si="15"/>
        <v>#VALUE!</v>
      </c>
      <c r="Q62" s="738"/>
      <c r="R62" s="941"/>
      <c r="S62" s="402" t="e">
        <f t="shared" si="17"/>
        <v>#VALUE!</v>
      </c>
      <c r="T62" s="402" t="e">
        <f t="shared" si="18"/>
        <v>#VALUE!</v>
      </c>
      <c r="U62" s="402" t="e">
        <f t="shared" si="19"/>
        <v>#VALUE!</v>
      </c>
      <c r="V62" s="402" t="e">
        <f t="shared" si="20"/>
        <v>#VALUE!</v>
      </c>
      <c r="W62" s="402" t="e">
        <f t="shared" si="21"/>
        <v>#VALUE!</v>
      </c>
      <c r="X62" s="402" t="e">
        <f t="shared" si="22"/>
        <v>#VALUE!</v>
      </c>
      <c r="Y62" s="402" t="e">
        <f t="shared" si="23"/>
        <v>#VALUE!</v>
      </c>
      <c r="Z62" s="402" t="e">
        <f t="shared" si="24"/>
        <v>#VALUE!</v>
      </c>
      <c r="AA62" s="402" t="e">
        <f t="shared" si="25"/>
        <v>#VALUE!</v>
      </c>
      <c r="AB62" s="669" t="e">
        <f t="shared" si="26"/>
        <v>#VALUE!</v>
      </c>
      <c r="AC62" s="403"/>
    </row>
    <row r="63" spans="2:29" s="121" customFormat="1" outlineLevel="1">
      <c r="B63" s="1822"/>
      <c r="C63" s="1794"/>
      <c r="D63" s="1750" t="s">
        <v>290</v>
      </c>
      <c r="E63" s="1751"/>
      <c r="F63" s="1751"/>
      <c r="G63" s="1752"/>
      <c r="H63" s="834"/>
      <c r="I63" s="1327" t="e">
        <f t="shared" si="0"/>
        <v>#DIV/0!</v>
      </c>
      <c r="J63" s="736" t="s">
        <v>365</v>
      </c>
      <c r="K63" s="736" t="s">
        <v>365</v>
      </c>
      <c r="L63" s="1330" t="str">
        <f t="shared" si="16"/>
        <v>Non renseigné</v>
      </c>
      <c r="M63" s="736" t="str">
        <f t="shared" si="12"/>
        <v>-</v>
      </c>
      <c r="N63" s="822" t="e">
        <f t="shared" si="13"/>
        <v>#VALUE!</v>
      </c>
      <c r="O63" s="733" t="e">
        <f t="shared" si="14"/>
        <v>#VALUE!</v>
      </c>
      <c r="P63" s="822" t="e">
        <f t="shared" si="15"/>
        <v>#VALUE!</v>
      </c>
      <c r="Q63" s="738"/>
      <c r="R63" s="941"/>
      <c r="S63" s="402" t="e">
        <f t="shared" si="17"/>
        <v>#VALUE!</v>
      </c>
      <c r="T63" s="402" t="e">
        <f t="shared" si="18"/>
        <v>#VALUE!</v>
      </c>
      <c r="U63" s="402" t="e">
        <f t="shared" si="19"/>
        <v>#VALUE!</v>
      </c>
      <c r="V63" s="402" t="e">
        <f t="shared" si="20"/>
        <v>#VALUE!</v>
      </c>
      <c r="W63" s="402" t="e">
        <f t="shared" si="21"/>
        <v>#VALUE!</v>
      </c>
      <c r="X63" s="402" t="e">
        <f t="shared" si="22"/>
        <v>#VALUE!</v>
      </c>
      <c r="Y63" s="402" t="e">
        <f t="shared" si="23"/>
        <v>#VALUE!</v>
      </c>
      <c r="Z63" s="402" t="e">
        <f t="shared" si="24"/>
        <v>#VALUE!</v>
      </c>
      <c r="AA63" s="402" t="e">
        <f t="shared" si="25"/>
        <v>#VALUE!</v>
      </c>
      <c r="AB63" s="669" t="e">
        <f t="shared" si="26"/>
        <v>#VALUE!</v>
      </c>
      <c r="AC63" s="403"/>
    </row>
    <row r="64" spans="2:29" s="121" customFormat="1" outlineLevel="1">
      <c r="B64" s="1822"/>
      <c r="C64" s="1794"/>
      <c r="D64" s="1750" t="s">
        <v>290</v>
      </c>
      <c r="E64" s="1751"/>
      <c r="F64" s="1751"/>
      <c r="G64" s="1752"/>
      <c r="H64" s="834"/>
      <c r="I64" s="1327" t="e">
        <f t="shared" si="0"/>
        <v>#DIV/0!</v>
      </c>
      <c r="J64" s="736" t="s">
        <v>365</v>
      </c>
      <c r="K64" s="736" t="s">
        <v>365</v>
      </c>
      <c r="L64" s="1330" t="str">
        <f t="shared" si="16"/>
        <v>Non renseigné</v>
      </c>
      <c r="M64" s="736" t="str">
        <f t="shared" si="12"/>
        <v>-</v>
      </c>
      <c r="N64" s="822" t="e">
        <f t="shared" si="13"/>
        <v>#VALUE!</v>
      </c>
      <c r="O64" s="733" t="e">
        <f t="shared" si="14"/>
        <v>#VALUE!</v>
      </c>
      <c r="P64" s="822" t="e">
        <f t="shared" si="15"/>
        <v>#VALUE!</v>
      </c>
      <c r="Q64" s="738"/>
      <c r="R64" s="941"/>
      <c r="S64" s="402" t="e">
        <f t="shared" si="17"/>
        <v>#VALUE!</v>
      </c>
      <c r="T64" s="402" t="e">
        <f t="shared" si="18"/>
        <v>#VALUE!</v>
      </c>
      <c r="U64" s="402" t="e">
        <f t="shared" si="19"/>
        <v>#VALUE!</v>
      </c>
      <c r="V64" s="402" t="e">
        <f t="shared" si="20"/>
        <v>#VALUE!</v>
      </c>
      <c r="W64" s="402" t="e">
        <f t="shared" si="21"/>
        <v>#VALUE!</v>
      </c>
      <c r="X64" s="402" t="e">
        <f t="shared" si="22"/>
        <v>#VALUE!</v>
      </c>
      <c r="Y64" s="402" t="e">
        <f t="shared" si="23"/>
        <v>#VALUE!</v>
      </c>
      <c r="Z64" s="402" t="e">
        <f t="shared" si="24"/>
        <v>#VALUE!</v>
      </c>
      <c r="AA64" s="402" t="e">
        <f t="shared" si="25"/>
        <v>#VALUE!</v>
      </c>
      <c r="AB64" s="669" t="e">
        <f t="shared" si="26"/>
        <v>#VALUE!</v>
      </c>
      <c r="AC64" s="403"/>
    </row>
    <row r="65" spans="2:29" s="121" customFormat="1" outlineLevel="1">
      <c r="B65" s="1822"/>
      <c r="C65" s="1794"/>
      <c r="D65" s="1750" t="s">
        <v>290</v>
      </c>
      <c r="E65" s="1751"/>
      <c r="F65" s="1751"/>
      <c r="G65" s="1752"/>
      <c r="H65" s="834"/>
      <c r="I65" s="1327" t="e">
        <f t="shared" si="0"/>
        <v>#DIV/0!</v>
      </c>
      <c r="J65" s="736" t="s">
        <v>365</v>
      </c>
      <c r="K65" s="736" t="s">
        <v>365</v>
      </c>
      <c r="L65" s="1330" t="str">
        <f t="shared" si="16"/>
        <v>Non renseigné</v>
      </c>
      <c r="M65" s="736" t="str">
        <f t="shared" si="12"/>
        <v>-</v>
      </c>
      <c r="N65" s="822" t="e">
        <f t="shared" si="13"/>
        <v>#VALUE!</v>
      </c>
      <c r="O65" s="733" t="e">
        <f t="shared" si="14"/>
        <v>#VALUE!</v>
      </c>
      <c r="P65" s="822" t="e">
        <f t="shared" si="15"/>
        <v>#VALUE!</v>
      </c>
      <c r="Q65" s="738"/>
      <c r="R65" s="941"/>
      <c r="S65" s="402" t="e">
        <f t="shared" si="17"/>
        <v>#VALUE!</v>
      </c>
      <c r="T65" s="402" t="e">
        <f t="shared" si="18"/>
        <v>#VALUE!</v>
      </c>
      <c r="U65" s="402" t="e">
        <f t="shared" si="19"/>
        <v>#VALUE!</v>
      </c>
      <c r="V65" s="402" t="e">
        <f t="shared" si="20"/>
        <v>#VALUE!</v>
      </c>
      <c r="W65" s="402" t="e">
        <f t="shared" si="21"/>
        <v>#VALUE!</v>
      </c>
      <c r="X65" s="402" t="e">
        <f t="shared" si="22"/>
        <v>#VALUE!</v>
      </c>
      <c r="Y65" s="402" t="e">
        <f t="shared" si="23"/>
        <v>#VALUE!</v>
      </c>
      <c r="Z65" s="402" t="e">
        <f t="shared" si="24"/>
        <v>#VALUE!</v>
      </c>
      <c r="AA65" s="402" t="e">
        <f t="shared" si="25"/>
        <v>#VALUE!</v>
      </c>
      <c r="AB65" s="669" t="e">
        <f t="shared" si="26"/>
        <v>#VALUE!</v>
      </c>
      <c r="AC65" s="403"/>
    </row>
    <row r="66" spans="2:29" s="121" customFormat="1" outlineLevel="1">
      <c r="B66" s="1167"/>
      <c r="C66" s="1168"/>
      <c r="D66" s="1750" t="s">
        <v>290</v>
      </c>
      <c r="E66" s="1751"/>
      <c r="F66" s="1751"/>
      <c r="G66" s="1752"/>
      <c r="H66" s="835"/>
      <c r="I66" s="1327" t="e">
        <f t="shared" si="0"/>
        <v>#DIV/0!</v>
      </c>
      <c r="J66" s="736" t="s">
        <v>365</v>
      </c>
      <c r="K66" s="736" t="s">
        <v>365</v>
      </c>
      <c r="L66" s="1330" t="str">
        <f t="shared" si="16"/>
        <v>Non renseigné</v>
      </c>
      <c r="M66" s="736" t="str">
        <f t="shared" si="12"/>
        <v>-</v>
      </c>
      <c r="N66" s="822" t="e">
        <f t="shared" si="13"/>
        <v>#VALUE!</v>
      </c>
      <c r="O66" s="733" t="e">
        <f t="shared" ref="O66:O419" si="27">12-M66</f>
        <v>#VALUE!</v>
      </c>
      <c r="P66" s="822" t="e">
        <f t="shared" ref="P66:P419" si="28">H66*(O66/12)*(1/Q66)</f>
        <v>#VALUE!</v>
      </c>
      <c r="Q66" s="823"/>
      <c r="R66" s="942"/>
      <c r="S66" s="402" t="e">
        <f t="shared" si="17"/>
        <v>#VALUE!</v>
      </c>
      <c r="T66" s="402" t="e">
        <f t="shared" si="18"/>
        <v>#VALUE!</v>
      </c>
      <c r="U66" s="402" t="e">
        <f t="shared" si="19"/>
        <v>#VALUE!</v>
      </c>
      <c r="V66" s="402" t="e">
        <f t="shared" si="20"/>
        <v>#VALUE!</v>
      </c>
      <c r="W66" s="402" t="e">
        <f t="shared" si="21"/>
        <v>#VALUE!</v>
      </c>
      <c r="X66" s="402" t="e">
        <f t="shared" si="22"/>
        <v>#VALUE!</v>
      </c>
      <c r="Y66" s="402" t="e">
        <f t="shared" si="23"/>
        <v>#VALUE!</v>
      </c>
      <c r="Z66" s="402" t="e">
        <f t="shared" si="24"/>
        <v>#VALUE!</v>
      </c>
      <c r="AA66" s="402" t="e">
        <f t="shared" si="25"/>
        <v>#VALUE!</v>
      </c>
      <c r="AB66" s="669" t="e">
        <f t="shared" si="26"/>
        <v>#VALUE!</v>
      </c>
      <c r="AC66" s="403"/>
    </row>
    <row r="67" spans="2:29" s="121" customFormat="1" outlineLevel="1">
      <c r="B67" s="1167"/>
      <c r="C67" s="1168"/>
      <c r="D67" s="1750" t="s">
        <v>290</v>
      </c>
      <c r="E67" s="1751"/>
      <c r="F67" s="1751"/>
      <c r="G67" s="1752"/>
      <c r="H67" s="835"/>
      <c r="I67" s="1327" t="e">
        <f t="shared" si="0"/>
        <v>#DIV/0!</v>
      </c>
      <c r="J67" s="736" t="s">
        <v>365</v>
      </c>
      <c r="K67" s="736" t="s">
        <v>365</v>
      </c>
      <c r="L67" s="1330" t="str">
        <f t="shared" si="16"/>
        <v>Non renseigné</v>
      </c>
      <c r="M67" s="736" t="str">
        <f t="shared" si="12"/>
        <v>-</v>
      </c>
      <c r="N67" s="822" t="e">
        <f t="shared" si="13"/>
        <v>#VALUE!</v>
      </c>
      <c r="O67" s="733" t="e">
        <f t="shared" si="27"/>
        <v>#VALUE!</v>
      </c>
      <c r="P67" s="822" t="e">
        <f t="shared" si="28"/>
        <v>#VALUE!</v>
      </c>
      <c r="Q67" s="823"/>
      <c r="R67" s="942"/>
      <c r="S67" s="402" t="e">
        <f t="shared" si="17"/>
        <v>#VALUE!</v>
      </c>
      <c r="T67" s="402" t="e">
        <f t="shared" si="18"/>
        <v>#VALUE!</v>
      </c>
      <c r="U67" s="402" t="e">
        <f t="shared" si="19"/>
        <v>#VALUE!</v>
      </c>
      <c r="V67" s="402" t="e">
        <f t="shared" si="20"/>
        <v>#VALUE!</v>
      </c>
      <c r="W67" s="402" t="e">
        <f t="shared" si="21"/>
        <v>#VALUE!</v>
      </c>
      <c r="X67" s="402" t="e">
        <f t="shared" si="22"/>
        <v>#VALUE!</v>
      </c>
      <c r="Y67" s="402" t="e">
        <f t="shared" si="23"/>
        <v>#VALUE!</v>
      </c>
      <c r="Z67" s="402" t="e">
        <f t="shared" si="24"/>
        <v>#VALUE!</v>
      </c>
      <c r="AA67" s="402" t="e">
        <f t="shared" si="25"/>
        <v>#VALUE!</v>
      </c>
      <c r="AB67" s="669" t="e">
        <f t="shared" si="26"/>
        <v>#VALUE!</v>
      </c>
      <c r="AC67" s="403"/>
    </row>
    <row r="68" spans="2:29" s="121" customFormat="1" outlineLevel="1">
      <c r="B68" s="1167"/>
      <c r="C68" s="1168"/>
      <c r="D68" s="1750" t="s">
        <v>290</v>
      </c>
      <c r="E68" s="1751"/>
      <c r="F68" s="1751"/>
      <c r="G68" s="1752"/>
      <c r="H68" s="835"/>
      <c r="I68" s="1327" t="e">
        <f t="shared" si="0"/>
        <v>#DIV/0!</v>
      </c>
      <c r="J68" s="736" t="s">
        <v>365</v>
      </c>
      <c r="K68" s="736" t="s">
        <v>365</v>
      </c>
      <c r="L68" s="1330" t="str">
        <f t="shared" si="16"/>
        <v>Non renseigné</v>
      </c>
      <c r="M68" s="736" t="str">
        <f t="shared" si="12"/>
        <v>-</v>
      </c>
      <c r="N68" s="822" t="e">
        <f t="shared" si="13"/>
        <v>#VALUE!</v>
      </c>
      <c r="O68" s="733" t="e">
        <f t="shared" si="27"/>
        <v>#VALUE!</v>
      </c>
      <c r="P68" s="822" t="e">
        <f t="shared" si="28"/>
        <v>#VALUE!</v>
      </c>
      <c r="Q68" s="823"/>
      <c r="R68" s="942"/>
      <c r="S68" s="402" t="e">
        <f t="shared" si="17"/>
        <v>#VALUE!</v>
      </c>
      <c r="T68" s="402" t="e">
        <f t="shared" si="18"/>
        <v>#VALUE!</v>
      </c>
      <c r="U68" s="402" t="e">
        <f t="shared" si="19"/>
        <v>#VALUE!</v>
      </c>
      <c r="V68" s="402" t="e">
        <f t="shared" si="20"/>
        <v>#VALUE!</v>
      </c>
      <c r="W68" s="402" t="e">
        <f t="shared" si="21"/>
        <v>#VALUE!</v>
      </c>
      <c r="X68" s="402" t="e">
        <f t="shared" si="22"/>
        <v>#VALUE!</v>
      </c>
      <c r="Y68" s="402" t="e">
        <f t="shared" si="23"/>
        <v>#VALUE!</v>
      </c>
      <c r="Z68" s="402" t="e">
        <f t="shared" si="24"/>
        <v>#VALUE!</v>
      </c>
      <c r="AA68" s="402" t="e">
        <f t="shared" si="25"/>
        <v>#VALUE!</v>
      </c>
      <c r="AB68" s="669" t="e">
        <f t="shared" si="26"/>
        <v>#VALUE!</v>
      </c>
      <c r="AC68" s="403"/>
    </row>
    <row r="69" spans="2:29" s="121" customFormat="1" outlineLevel="1">
      <c r="B69" s="1167"/>
      <c r="C69" s="1168"/>
      <c r="D69" s="1750" t="s">
        <v>290</v>
      </c>
      <c r="E69" s="1751"/>
      <c r="F69" s="1751"/>
      <c r="G69" s="1752"/>
      <c r="H69" s="835"/>
      <c r="I69" s="1327" t="e">
        <f t="shared" si="0"/>
        <v>#DIV/0!</v>
      </c>
      <c r="J69" s="736" t="s">
        <v>365</v>
      </c>
      <c r="K69" s="736" t="s">
        <v>365</v>
      </c>
      <c r="L69" s="1330" t="str">
        <f t="shared" si="16"/>
        <v>Non renseigné</v>
      </c>
      <c r="M69" s="736" t="str">
        <f t="shared" si="12"/>
        <v>-</v>
      </c>
      <c r="N69" s="822" t="e">
        <f t="shared" si="13"/>
        <v>#VALUE!</v>
      </c>
      <c r="O69" s="733" t="e">
        <f t="shared" si="27"/>
        <v>#VALUE!</v>
      </c>
      <c r="P69" s="822" t="e">
        <f t="shared" si="28"/>
        <v>#VALUE!</v>
      </c>
      <c r="Q69" s="823"/>
      <c r="R69" s="942"/>
      <c r="S69" s="402" t="e">
        <f t="shared" si="17"/>
        <v>#VALUE!</v>
      </c>
      <c r="T69" s="402" t="e">
        <f t="shared" si="18"/>
        <v>#VALUE!</v>
      </c>
      <c r="U69" s="402" t="e">
        <f t="shared" si="19"/>
        <v>#VALUE!</v>
      </c>
      <c r="V69" s="402" t="e">
        <f t="shared" si="20"/>
        <v>#VALUE!</v>
      </c>
      <c r="W69" s="402" t="e">
        <f t="shared" si="21"/>
        <v>#VALUE!</v>
      </c>
      <c r="X69" s="402" t="e">
        <f t="shared" si="22"/>
        <v>#VALUE!</v>
      </c>
      <c r="Y69" s="402" t="e">
        <f t="shared" si="23"/>
        <v>#VALUE!</v>
      </c>
      <c r="Z69" s="402" t="e">
        <f t="shared" si="24"/>
        <v>#VALUE!</v>
      </c>
      <c r="AA69" s="402" t="e">
        <f t="shared" si="25"/>
        <v>#VALUE!</v>
      </c>
      <c r="AB69" s="669" t="e">
        <f t="shared" si="26"/>
        <v>#VALUE!</v>
      </c>
      <c r="AC69" s="403"/>
    </row>
    <row r="70" spans="2:29" s="121" customFormat="1" outlineLevel="1">
      <c r="B70" s="1167"/>
      <c r="C70" s="1168"/>
      <c r="D70" s="1750" t="s">
        <v>290</v>
      </c>
      <c r="E70" s="1751"/>
      <c r="F70" s="1751"/>
      <c r="G70" s="1752"/>
      <c r="H70" s="835"/>
      <c r="I70" s="1327" t="e">
        <f t="shared" si="0"/>
        <v>#DIV/0!</v>
      </c>
      <c r="J70" s="736" t="s">
        <v>365</v>
      </c>
      <c r="K70" s="736" t="s">
        <v>365</v>
      </c>
      <c r="L70" s="1330" t="str">
        <f t="shared" si="16"/>
        <v>Non renseigné</v>
      </c>
      <c r="M70" s="736" t="str">
        <f t="shared" si="12"/>
        <v>-</v>
      </c>
      <c r="N70" s="822" t="e">
        <f t="shared" si="13"/>
        <v>#VALUE!</v>
      </c>
      <c r="O70" s="733" t="e">
        <f t="shared" si="27"/>
        <v>#VALUE!</v>
      </c>
      <c r="P70" s="822" t="e">
        <f t="shared" si="28"/>
        <v>#VALUE!</v>
      </c>
      <c r="Q70" s="823"/>
      <c r="R70" s="942"/>
      <c r="S70" s="402" t="e">
        <f t="shared" si="17"/>
        <v>#VALUE!</v>
      </c>
      <c r="T70" s="402" t="e">
        <f t="shared" si="18"/>
        <v>#VALUE!</v>
      </c>
      <c r="U70" s="402" t="e">
        <f t="shared" si="19"/>
        <v>#VALUE!</v>
      </c>
      <c r="V70" s="402" t="e">
        <f t="shared" si="20"/>
        <v>#VALUE!</v>
      </c>
      <c r="W70" s="402" t="e">
        <f t="shared" si="21"/>
        <v>#VALUE!</v>
      </c>
      <c r="X70" s="402" t="e">
        <f t="shared" si="22"/>
        <v>#VALUE!</v>
      </c>
      <c r="Y70" s="402" t="e">
        <f t="shared" si="23"/>
        <v>#VALUE!</v>
      </c>
      <c r="Z70" s="402" t="e">
        <f t="shared" si="24"/>
        <v>#VALUE!</v>
      </c>
      <c r="AA70" s="402" t="e">
        <f t="shared" si="25"/>
        <v>#VALUE!</v>
      </c>
      <c r="AB70" s="669" t="e">
        <f t="shared" si="26"/>
        <v>#VALUE!</v>
      </c>
      <c r="AC70" s="403"/>
    </row>
    <row r="71" spans="2:29" s="121" customFormat="1" outlineLevel="1">
      <c r="B71" s="1167"/>
      <c r="C71" s="1168"/>
      <c r="D71" s="1750" t="s">
        <v>290</v>
      </c>
      <c r="E71" s="1751"/>
      <c r="F71" s="1751"/>
      <c r="G71" s="1752"/>
      <c r="H71" s="835"/>
      <c r="I71" s="1327" t="e">
        <f t="shared" si="0"/>
        <v>#DIV/0!</v>
      </c>
      <c r="J71" s="736" t="s">
        <v>365</v>
      </c>
      <c r="K71" s="736" t="s">
        <v>365</v>
      </c>
      <c r="L71" s="1330" t="str">
        <f t="shared" si="16"/>
        <v>Non renseigné</v>
      </c>
      <c r="M71" s="736" t="str">
        <f t="shared" si="12"/>
        <v>-</v>
      </c>
      <c r="N71" s="822" t="e">
        <f t="shared" si="13"/>
        <v>#VALUE!</v>
      </c>
      <c r="O71" s="733" t="e">
        <f t="shared" si="27"/>
        <v>#VALUE!</v>
      </c>
      <c r="P71" s="822" t="e">
        <f t="shared" si="28"/>
        <v>#VALUE!</v>
      </c>
      <c r="Q71" s="823"/>
      <c r="R71" s="942"/>
      <c r="S71" s="402" t="e">
        <f t="shared" si="17"/>
        <v>#VALUE!</v>
      </c>
      <c r="T71" s="402" t="e">
        <f t="shared" si="18"/>
        <v>#VALUE!</v>
      </c>
      <c r="U71" s="402" t="e">
        <f t="shared" si="19"/>
        <v>#VALUE!</v>
      </c>
      <c r="V71" s="402" t="e">
        <f t="shared" si="20"/>
        <v>#VALUE!</v>
      </c>
      <c r="W71" s="402" t="e">
        <f t="shared" si="21"/>
        <v>#VALUE!</v>
      </c>
      <c r="X71" s="402" t="e">
        <f t="shared" si="22"/>
        <v>#VALUE!</v>
      </c>
      <c r="Y71" s="402" t="e">
        <f t="shared" si="23"/>
        <v>#VALUE!</v>
      </c>
      <c r="Z71" s="402" t="e">
        <f t="shared" si="24"/>
        <v>#VALUE!</v>
      </c>
      <c r="AA71" s="402" t="e">
        <f t="shared" si="25"/>
        <v>#VALUE!</v>
      </c>
      <c r="AB71" s="669" t="e">
        <f t="shared" si="26"/>
        <v>#VALUE!</v>
      </c>
      <c r="AC71" s="403"/>
    </row>
    <row r="72" spans="2:29" s="121" customFormat="1" outlineLevel="1">
      <c r="B72" s="1167"/>
      <c r="C72" s="1168"/>
      <c r="D72" s="1750" t="s">
        <v>290</v>
      </c>
      <c r="E72" s="1751"/>
      <c r="F72" s="1751"/>
      <c r="G72" s="1752"/>
      <c r="H72" s="835"/>
      <c r="I72" s="1327" t="e">
        <f t="shared" si="0"/>
        <v>#DIV/0!</v>
      </c>
      <c r="J72" s="736" t="s">
        <v>365</v>
      </c>
      <c r="K72" s="736" t="s">
        <v>365</v>
      </c>
      <c r="L72" s="1330" t="str">
        <f t="shared" si="16"/>
        <v>Non renseigné</v>
      </c>
      <c r="M72" s="736" t="str">
        <f t="shared" si="12"/>
        <v>-</v>
      </c>
      <c r="N72" s="822" t="e">
        <f t="shared" si="13"/>
        <v>#VALUE!</v>
      </c>
      <c r="O72" s="733" t="e">
        <f t="shared" si="27"/>
        <v>#VALUE!</v>
      </c>
      <c r="P72" s="822" t="e">
        <f t="shared" si="28"/>
        <v>#VALUE!</v>
      </c>
      <c r="Q72" s="823"/>
      <c r="R72" s="942"/>
      <c r="S72" s="402" t="e">
        <f t="shared" si="17"/>
        <v>#VALUE!</v>
      </c>
      <c r="T72" s="402" t="e">
        <f t="shared" si="18"/>
        <v>#VALUE!</v>
      </c>
      <c r="U72" s="402" t="e">
        <f t="shared" si="19"/>
        <v>#VALUE!</v>
      </c>
      <c r="V72" s="402" t="e">
        <f t="shared" si="20"/>
        <v>#VALUE!</v>
      </c>
      <c r="W72" s="402" t="e">
        <f t="shared" si="21"/>
        <v>#VALUE!</v>
      </c>
      <c r="X72" s="402" t="e">
        <f t="shared" si="22"/>
        <v>#VALUE!</v>
      </c>
      <c r="Y72" s="402" t="e">
        <f t="shared" si="23"/>
        <v>#VALUE!</v>
      </c>
      <c r="Z72" s="402" t="e">
        <f t="shared" si="24"/>
        <v>#VALUE!</v>
      </c>
      <c r="AA72" s="402" t="e">
        <f t="shared" si="25"/>
        <v>#VALUE!</v>
      </c>
      <c r="AB72" s="669" t="e">
        <f t="shared" si="26"/>
        <v>#VALUE!</v>
      </c>
      <c r="AC72" s="403"/>
    </row>
    <row r="73" spans="2:29" s="121" customFormat="1" outlineLevel="1">
      <c r="B73" s="1167"/>
      <c r="C73" s="1168"/>
      <c r="D73" s="1750" t="s">
        <v>290</v>
      </c>
      <c r="E73" s="1751"/>
      <c r="F73" s="1751"/>
      <c r="G73" s="1752"/>
      <c r="H73" s="835"/>
      <c r="I73" s="1327" t="e">
        <f t="shared" si="0"/>
        <v>#DIV/0!</v>
      </c>
      <c r="J73" s="736" t="s">
        <v>365</v>
      </c>
      <c r="K73" s="736" t="s">
        <v>365</v>
      </c>
      <c r="L73" s="1330" t="str">
        <f t="shared" si="16"/>
        <v>Non renseigné</v>
      </c>
      <c r="M73" s="736" t="str">
        <f t="shared" si="12"/>
        <v>-</v>
      </c>
      <c r="N73" s="822" t="e">
        <f t="shared" si="13"/>
        <v>#VALUE!</v>
      </c>
      <c r="O73" s="733" t="e">
        <f t="shared" si="27"/>
        <v>#VALUE!</v>
      </c>
      <c r="P73" s="822" t="e">
        <f t="shared" si="28"/>
        <v>#VALUE!</v>
      </c>
      <c r="Q73" s="823"/>
      <c r="R73" s="942"/>
      <c r="S73" s="402" t="e">
        <f t="shared" si="17"/>
        <v>#VALUE!</v>
      </c>
      <c r="T73" s="402" t="e">
        <f t="shared" si="18"/>
        <v>#VALUE!</v>
      </c>
      <c r="U73" s="402" t="e">
        <f t="shared" si="19"/>
        <v>#VALUE!</v>
      </c>
      <c r="V73" s="402" t="e">
        <f t="shared" si="20"/>
        <v>#VALUE!</v>
      </c>
      <c r="W73" s="402" t="e">
        <f t="shared" si="21"/>
        <v>#VALUE!</v>
      </c>
      <c r="X73" s="402" t="e">
        <f t="shared" si="22"/>
        <v>#VALUE!</v>
      </c>
      <c r="Y73" s="402" t="e">
        <f t="shared" si="23"/>
        <v>#VALUE!</v>
      </c>
      <c r="Z73" s="402" t="e">
        <f t="shared" si="24"/>
        <v>#VALUE!</v>
      </c>
      <c r="AA73" s="402" t="e">
        <f t="shared" si="25"/>
        <v>#VALUE!</v>
      </c>
      <c r="AB73" s="669" t="e">
        <f t="shared" si="26"/>
        <v>#VALUE!</v>
      </c>
      <c r="AC73" s="403"/>
    </row>
    <row r="74" spans="2:29" s="121" customFormat="1" outlineLevel="1">
      <c r="B74" s="1167"/>
      <c r="C74" s="1168"/>
      <c r="D74" s="1750" t="s">
        <v>290</v>
      </c>
      <c r="E74" s="1751"/>
      <c r="F74" s="1751"/>
      <c r="G74" s="1752"/>
      <c r="H74" s="835"/>
      <c r="I74" s="1327" t="e">
        <f t="shared" si="0"/>
        <v>#DIV/0!</v>
      </c>
      <c r="J74" s="736" t="s">
        <v>365</v>
      </c>
      <c r="K74" s="736" t="s">
        <v>365</v>
      </c>
      <c r="L74" s="1330" t="str">
        <f t="shared" si="16"/>
        <v>Non renseigné</v>
      </c>
      <c r="M74" s="736" t="str">
        <f t="shared" si="12"/>
        <v>-</v>
      </c>
      <c r="N74" s="822" t="e">
        <f t="shared" si="13"/>
        <v>#VALUE!</v>
      </c>
      <c r="O74" s="733" t="e">
        <f t="shared" si="27"/>
        <v>#VALUE!</v>
      </c>
      <c r="P74" s="822" t="e">
        <f t="shared" si="28"/>
        <v>#VALUE!</v>
      </c>
      <c r="Q74" s="823"/>
      <c r="R74" s="942"/>
      <c r="S74" s="402" t="e">
        <f t="shared" si="17"/>
        <v>#VALUE!</v>
      </c>
      <c r="T74" s="402" t="e">
        <f t="shared" si="18"/>
        <v>#VALUE!</v>
      </c>
      <c r="U74" s="402" t="e">
        <f t="shared" si="19"/>
        <v>#VALUE!</v>
      </c>
      <c r="V74" s="402" t="e">
        <f t="shared" si="20"/>
        <v>#VALUE!</v>
      </c>
      <c r="W74" s="402" t="e">
        <f t="shared" si="21"/>
        <v>#VALUE!</v>
      </c>
      <c r="X74" s="402" t="e">
        <f t="shared" si="22"/>
        <v>#VALUE!</v>
      </c>
      <c r="Y74" s="402" t="e">
        <f t="shared" si="23"/>
        <v>#VALUE!</v>
      </c>
      <c r="Z74" s="402" t="e">
        <f t="shared" si="24"/>
        <v>#VALUE!</v>
      </c>
      <c r="AA74" s="402" t="e">
        <f t="shared" si="25"/>
        <v>#VALUE!</v>
      </c>
      <c r="AB74" s="669" t="e">
        <f t="shared" si="26"/>
        <v>#VALUE!</v>
      </c>
      <c r="AC74" s="403"/>
    </row>
    <row r="75" spans="2:29" s="121" customFormat="1" outlineLevel="1">
      <c r="B75" s="1167"/>
      <c r="C75" s="1168"/>
      <c r="D75" s="1750" t="s">
        <v>290</v>
      </c>
      <c r="E75" s="1751"/>
      <c r="F75" s="1751"/>
      <c r="G75" s="1752"/>
      <c r="H75" s="835"/>
      <c r="I75" s="1327" t="e">
        <f t="shared" si="0"/>
        <v>#DIV/0!</v>
      </c>
      <c r="J75" s="736" t="s">
        <v>365</v>
      </c>
      <c r="K75" s="736" t="s">
        <v>365</v>
      </c>
      <c r="L75" s="1330" t="str">
        <f t="shared" si="16"/>
        <v>Non renseigné</v>
      </c>
      <c r="M75" s="736" t="str">
        <f t="shared" si="12"/>
        <v>-</v>
      </c>
      <c r="N75" s="822" t="e">
        <f t="shared" si="13"/>
        <v>#VALUE!</v>
      </c>
      <c r="O75" s="733" t="e">
        <f t="shared" si="27"/>
        <v>#VALUE!</v>
      </c>
      <c r="P75" s="822" t="e">
        <f t="shared" si="28"/>
        <v>#VALUE!</v>
      </c>
      <c r="Q75" s="823"/>
      <c r="R75" s="942"/>
      <c r="S75" s="402" t="e">
        <f t="shared" si="17"/>
        <v>#VALUE!</v>
      </c>
      <c r="T75" s="402" t="e">
        <f t="shared" si="18"/>
        <v>#VALUE!</v>
      </c>
      <c r="U75" s="402" t="e">
        <f t="shared" si="19"/>
        <v>#VALUE!</v>
      </c>
      <c r="V75" s="402" t="e">
        <f t="shared" si="20"/>
        <v>#VALUE!</v>
      </c>
      <c r="W75" s="402" t="e">
        <f t="shared" si="21"/>
        <v>#VALUE!</v>
      </c>
      <c r="X75" s="402" t="e">
        <f t="shared" si="22"/>
        <v>#VALUE!</v>
      </c>
      <c r="Y75" s="402" t="e">
        <f t="shared" si="23"/>
        <v>#VALUE!</v>
      </c>
      <c r="Z75" s="402" t="e">
        <f t="shared" si="24"/>
        <v>#VALUE!</v>
      </c>
      <c r="AA75" s="402" t="e">
        <f t="shared" si="25"/>
        <v>#VALUE!</v>
      </c>
      <c r="AB75" s="669" t="e">
        <f t="shared" si="26"/>
        <v>#VALUE!</v>
      </c>
      <c r="AC75" s="403"/>
    </row>
    <row r="76" spans="2:29" s="121" customFormat="1" outlineLevel="1">
      <c r="B76" s="1167"/>
      <c r="C76" s="1168"/>
      <c r="D76" s="1750" t="s">
        <v>290</v>
      </c>
      <c r="E76" s="1751"/>
      <c r="F76" s="1751"/>
      <c r="G76" s="1752"/>
      <c r="H76" s="835"/>
      <c r="I76" s="1327" t="e">
        <f t="shared" si="0"/>
        <v>#DIV/0!</v>
      </c>
      <c r="J76" s="736" t="s">
        <v>365</v>
      </c>
      <c r="K76" s="736" t="s">
        <v>365</v>
      </c>
      <c r="L76" s="1330" t="str">
        <f t="shared" si="16"/>
        <v>Non renseigné</v>
      </c>
      <c r="M76" s="736" t="str">
        <f t="shared" si="12"/>
        <v>-</v>
      </c>
      <c r="N76" s="822" t="e">
        <f t="shared" si="13"/>
        <v>#VALUE!</v>
      </c>
      <c r="O76" s="733" t="e">
        <f t="shared" si="27"/>
        <v>#VALUE!</v>
      </c>
      <c r="P76" s="822" t="e">
        <f t="shared" si="28"/>
        <v>#VALUE!</v>
      </c>
      <c r="Q76" s="823"/>
      <c r="R76" s="942"/>
      <c r="S76" s="402" t="e">
        <f t="shared" ref="S76:S152" si="29">IF($D76="Bâtiments avec mise en service N+1",IF($S$15=$L76,$N76,IF(AND($S$15&gt;$L76,$S$15&lt;$L76+$Q76),$I76,IF($S$15&lt;$L76,"",IF($S$15&gt;$L76+$Q76,"",$P76)))),IF($S$15=$J76,$N76,IF(AND($S$15&gt;$J76,$S$15&lt;$J76+$Q76),$I76,IF($S$15&lt;$J76,"",IF($S$15&gt;$L76+$Q76,"",$P76)))))</f>
        <v>#VALUE!</v>
      </c>
      <c r="T76" s="402" t="e">
        <f t="shared" ref="T76:T152" si="30">IF($D76="Bâtiments avec mise en service N+1",IF($T$15=$L76,$N76,IF(AND($T$15&gt;$L76,$T$15&lt;$L76+$Q76),$I76,IF($T$15&lt;$L76,"",IF($T$15&gt;$L76+$Q76,"",$P76)))),IF($T$15=$J76,$N76,IF(AND($T$15&gt;$J76,$T$15&lt;$J76+$Q76),$I76,IF($T$15&lt;$J76,"",IF($T$15&gt;$L76+$Q76,"",$P76)))))</f>
        <v>#VALUE!</v>
      </c>
      <c r="U76" s="402" t="e">
        <f t="shared" ref="U76:U152" si="31">IF($D76="Bâtiments avec mise en service N+1",IF($U$15=$L76,$N76,IF(AND($U$15&gt;$L76,$U$15&lt;$L76+$Q76),$I76,IF($U$15&lt;$L76,"",IF($U$15&gt;$L76+$Q76,"",$P76)))),IF($U$15=$J76,$N76,IF(AND($U$15&gt;$J76,$U$15&lt;$J76+$Q76),$I76,IF($U$15&lt;$J76,"",IF($U$15&gt;$L76+$Q76,"",$P76)))))</f>
        <v>#VALUE!</v>
      </c>
      <c r="V76" s="402" t="e">
        <f t="shared" ref="V76:V152" si="32">IF($D76="Bâtiments avec mise en service N+1",IF($V$15=$L76,$N76,IF(AND($V$15&gt;$L76,$V$15&lt;$L76+$Q76),$I76,IF($V$15&lt;$L76,"",IF($V$15&gt;$L76+$Q76,"",$P76)))),IF($V$15=$J76,$N76,IF(AND($V$15&gt;$J76,$V$15&lt;$J76+$Q76),$I76,IF($V$15&lt;$J76,"",IF($V$15&gt;$L76+$Q76,"",$P76)))))</f>
        <v>#VALUE!</v>
      </c>
      <c r="W76" s="402" t="e">
        <f t="shared" ref="W76:W152" si="33">IF($D76="Bâtiments avec mise en service N+1",IF($W$15=$L76,$N76,IF(AND($W$15&gt;$L76,$W$15&lt;$L76+$Q76),$I76,IF($W$15&lt;$L76,"",IF($W$15&gt;$L76+$Q76,"",$P76)))),IF($W$15=$J76,$N76,IF(AND($W$15&gt;$J76,$W$15&lt;$J76+$Q76),$I76,IF($W$15&lt;$J76,"",IF($W$15&gt;$L76+$Q76,"",$P76)))))</f>
        <v>#VALUE!</v>
      </c>
      <c r="X76" s="402" t="e">
        <f t="shared" ref="X76:X152" si="34">IF($D76="Bâtiments avec mise en service N+1",IF($X$15=$L76,$N76,IF(AND($X$15&gt;$L76,$X$15&lt;$L76+$Q76),$I76,IF($X$15&lt;$L76,"",IF($X$15&gt;$L76+$Q76,"",$P76)))),IF($X$15=$J76,$N76,IF(AND($X$15&gt;$J76,$X$15&lt;$J76+$Q76),$I76,IF($X$15&lt;$J76,"",IF($X$15&gt;$L76+$Q76,"",$P76)))))</f>
        <v>#VALUE!</v>
      </c>
      <c r="Y76" s="402" t="e">
        <f t="shared" ref="Y76:Y152" si="35">IF($D76="Bâtiments avec mise en service N+1",IF($Y$15=$L76,$N76,IF(AND($Y$15&gt;$L76,$Y$15&lt;$L76+$Q76),$I76,IF($Y$15&lt;$L76,"",IF($Y$15&gt;$L76+$Q76,"",$P76)))),IF($Y$15=$J76,$N76,IF(AND($Y$15&gt;$J76,$Y$15&lt;$J76+$Q76),$I76,IF($Y$15&lt;$J76,"",IF($Y$15&gt;$L76+$Q76,"",$P76)))))</f>
        <v>#VALUE!</v>
      </c>
      <c r="Z76" s="402" t="e">
        <f t="shared" ref="Z76:Z152" si="36">IF($D76="Bâtiments avec mise en service N+1",IF($Z$15=$L76,$N76,IF(AND($Z$15&gt;$L76,$Z$15&lt;$L76+$Q76),$I76,IF($Z$15&lt;$L76,"",IF($Z$15&gt;$L76+$Q76,"",$P76)))),IF($Z$15=$J76,$N76,IF(AND($Z$15&gt;$J76,$Z$15&lt;$J76+$Q76),$I76,IF($Z$15&lt;$J76,"",IF($Z$15&gt;$L76+$Q76,"",$P76)))))</f>
        <v>#VALUE!</v>
      </c>
      <c r="AA76" s="402" t="e">
        <f t="shared" ref="AA76:AA152" si="37">IF($D76="Bâtiments avec mise en service N+1",IF($AA$15=$L76,$N76,IF(AND($AA$15&gt;$L76,$AA$15&lt;$L76+$Q76),$I76,IF($AA$15&lt;$L76,"",IF($AA$15&gt;$L76+$Q76,"",$P76)))),IF($AA$15=$J76,$N76,IF(AND($AA$15&gt;$J76,$AA$15&lt;$J76+$Q76),$I76,IF($AA$15&lt;$J76,"",IF($AA$15&gt;$L76+$Q76,"",$P76)))))</f>
        <v>#VALUE!</v>
      </c>
      <c r="AB76" s="669" t="e">
        <f t="shared" ref="AB76:AB152" si="38">IF($D76="Bâtiments avec mise en service N+1",IF($AB$15=$L76,$N76,IF(AND($AB$15&gt;$L76,$AB$15&lt;$L76+$Q76),$I76,IF($AB$15&lt;$L76,"",IF($AB$15&gt;$L76+$Q76,"",$P76)))),IF($AB$15=$J76,$N76,IF(AND($AB$15&gt;$J76,$AB$15&lt;$J76+$Q76),$I76,IF($AB$15&lt;$J76,"",IF($AB$15&gt;$L76+$Q76,"",$P76)))))</f>
        <v>#VALUE!</v>
      </c>
      <c r="AC76" s="403"/>
    </row>
    <row r="77" spans="2:29" s="121" customFormat="1" outlineLevel="1">
      <c r="B77" s="1167"/>
      <c r="C77" s="1168"/>
      <c r="D77" s="1750" t="s">
        <v>290</v>
      </c>
      <c r="E77" s="1751"/>
      <c r="F77" s="1751"/>
      <c r="G77" s="1752"/>
      <c r="H77" s="835"/>
      <c r="I77" s="1327" t="e">
        <f t="shared" si="0"/>
        <v>#DIV/0!</v>
      </c>
      <c r="J77" s="736" t="s">
        <v>365</v>
      </c>
      <c r="K77" s="736" t="s">
        <v>365</v>
      </c>
      <c r="L77" s="1330" t="str">
        <f t="shared" si="16"/>
        <v>Non renseigné</v>
      </c>
      <c r="M77" s="736" t="str">
        <f t="shared" si="12"/>
        <v>-</v>
      </c>
      <c r="N77" s="822" t="e">
        <f t="shared" si="13"/>
        <v>#VALUE!</v>
      </c>
      <c r="O77" s="733" t="e">
        <f t="shared" si="27"/>
        <v>#VALUE!</v>
      </c>
      <c r="P77" s="822" t="e">
        <f t="shared" si="28"/>
        <v>#VALUE!</v>
      </c>
      <c r="Q77" s="823"/>
      <c r="R77" s="942"/>
      <c r="S77" s="402" t="e">
        <f t="shared" si="29"/>
        <v>#VALUE!</v>
      </c>
      <c r="T77" s="402" t="e">
        <f t="shared" si="30"/>
        <v>#VALUE!</v>
      </c>
      <c r="U77" s="402" t="e">
        <f t="shared" si="31"/>
        <v>#VALUE!</v>
      </c>
      <c r="V77" s="402" t="e">
        <f t="shared" si="32"/>
        <v>#VALUE!</v>
      </c>
      <c r="W77" s="402" t="e">
        <f t="shared" si="33"/>
        <v>#VALUE!</v>
      </c>
      <c r="X77" s="402" t="e">
        <f t="shared" si="34"/>
        <v>#VALUE!</v>
      </c>
      <c r="Y77" s="402" t="e">
        <f t="shared" si="35"/>
        <v>#VALUE!</v>
      </c>
      <c r="Z77" s="402" t="e">
        <f t="shared" si="36"/>
        <v>#VALUE!</v>
      </c>
      <c r="AA77" s="402" t="e">
        <f t="shared" si="37"/>
        <v>#VALUE!</v>
      </c>
      <c r="AB77" s="669" t="e">
        <f t="shared" si="38"/>
        <v>#VALUE!</v>
      </c>
      <c r="AC77" s="403"/>
    </row>
    <row r="78" spans="2:29" s="121" customFormat="1" outlineLevel="1">
      <c r="B78" s="1167"/>
      <c r="C78" s="1168"/>
      <c r="D78" s="1750" t="s">
        <v>290</v>
      </c>
      <c r="E78" s="1751"/>
      <c r="F78" s="1751"/>
      <c r="G78" s="1752"/>
      <c r="H78" s="835"/>
      <c r="I78" s="1327" t="e">
        <f t="shared" si="0"/>
        <v>#DIV/0!</v>
      </c>
      <c r="J78" s="736" t="s">
        <v>365</v>
      </c>
      <c r="K78" s="736" t="s">
        <v>365</v>
      </c>
      <c r="L78" s="1330" t="str">
        <f t="shared" si="16"/>
        <v>Non renseigné</v>
      </c>
      <c r="M78" s="736" t="str">
        <f t="shared" si="12"/>
        <v>-</v>
      </c>
      <c r="N78" s="822" t="e">
        <f t="shared" si="13"/>
        <v>#VALUE!</v>
      </c>
      <c r="O78" s="733" t="e">
        <f t="shared" si="27"/>
        <v>#VALUE!</v>
      </c>
      <c r="P78" s="822" t="e">
        <f t="shared" si="28"/>
        <v>#VALUE!</v>
      </c>
      <c r="Q78" s="823"/>
      <c r="R78" s="942"/>
      <c r="S78" s="402" t="e">
        <f t="shared" si="29"/>
        <v>#VALUE!</v>
      </c>
      <c r="T78" s="402" t="e">
        <f t="shared" si="30"/>
        <v>#VALUE!</v>
      </c>
      <c r="U78" s="402" t="e">
        <f t="shared" si="31"/>
        <v>#VALUE!</v>
      </c>
      <c r="V78" s="402" t="e">
        <f t="shared" si="32"/>
        <v>#VALUE!</v>
      </c>
      <c r="W78" s="402" t="e">
        <f t="shared" si="33"/>
        <v>#VALUE!</v>
      </c>
      <c r="X78" s="402" t="e">
        <f t="shared" si="34"/>
        <v>#VALUE!</v>
      </c>
      <c r="Y78" s="402" t="e">
        <f t="shared" si="35"/>
        <v>#VALUE!</v>
      </c>
      <c r="Z78" s="402" t="e">
        <f t="shared" si="36"/>
        <v>#VALUE!</v>
      </c>
      <c r="AA78" s="402" t="e">
        <f t="shared" si="37"/>
        <v>#VALUE!</v>
      </c>
      <c r="AB78" s="669" t="e">
        <f t="shared" si="38"/>
        <v>#VALUE!</v>
      </c>
      <c r="AC78" s="403"/>
    </row>
    <row r="79" spans="2:29" s="121" customFormat="1" outlineLevel="1">
      <c r="B79" s="1167"/>
      <c r="C79" s="1168"/>
      <c r="D79" s="1750" t="s">
        <v>290</v>
      </c>
      <c r="E79" s="1751"/>
      <c r="F79" s="1751"/>
      <c r="G79" s="1752"/>
      <c r="H79" s="835"/>
      <c r="I79" s="1327" t="e">
        <f t="shared" si="0"/>
        <v>#DIV/0!</v>
      </c>
      <c r="J79" s="736" t="s">
        <v>365</v>
      </c>
      <c r="K79" s="736" t="s">
        <v>365</v>
      </c>
      <c r="L79" s="1330" t="str">
        <f t="shared" si="16"/>
        <v>Non renseigné</v>
      </c>
      <c r="M79" s="736" t="str">
        <f t="shared" si="12"/>
        <v>-</v>
      </c>
      <c r="N79" s="822" t="e">
        <f t="shared" si="13"/>
        <v>#VALUE!</v>
      </c>
      <c r="O79" s="733" t="e">
        <f t="shared" si="27"/>
        <v>#VALUE!</v>
      </c>
      <c r="P79" s="822" t="e">
        <f t="shared" si="28"/>
        <v>#VALUE!</v>
      </c>
      <c r="Q79" s="823"/>
      <c r="R79" s="942"/>
      <c r="S79" s="402" t="e">
        <f t="shared" si="29"/>
        <v>#VALUE!</v>
      </c>
      <c r="T79" s="402" t="e">
        <f t="shared" si="30"/>
        <v>#VALUE!</v>
      </c>
      <c r="U79" s="402" t="e">
        <f t="shared" si="31"/>
        <v>#VALUE!</v>
      </c>
      <c r="V79" s="402" t="e">
        <f t="shared" si="32"/>
        <v>#VALUE!</v>
      </c>
      <c r="W79" s="402" t="e">
        <f t="shared" si="33"/>
        <v>#VALUE!</v>
      </c>
      <c r="X79" s="402" t="e">
        <f t="shared" si="34"/>
        <v>#VALUE!</v>
      </c>
      <c r="Y79" s="402" t="e">
        <f t="shared" si="35"/>
        <v>#VALUE!</v>
      </c>
      <c r="Z79" s="402" t="e">
        <f t="shared" si="36"/>
        <v>#VALUE!</v>
      </c>
      <c r="AA79" s="402" t="e">
        <f t="shared" si="37"/>
        <v>#VALUE!</v>
      </c>
      <c r="AB79" s="669" t="e">
        <f t="shared" si="38"/>
        <v>#VALUE!</v>
      </c>
      <c r="AC79" s="403"/>
    </row>
    <row r="80" spans="2:29" s="121" customFormat="1" outlineLevel="1">
      <c r="B80" s="1167"/>
      <c r="C80" s="1168"/>
      <c r="D80" s="1750" t="s">
        <v>290</v>
      </c>
      <c r="E80" s="1751"/>
      <c r="F80" s="1751"/>
      <c r="G80" s="1752"/>
      <c r="H80" s="835"/>
      <c r="I80" s="1327" t="e">
        <f t="shared" si="0"/>
        <v>#DIV/0!</v>
      </c>
      <c r="J80" s="736" t="s">
        <v>365</v>
      </c>
      <c r="K80" s="736" t="s">
        <v>365</v>
      </c>
      <c r="L80" s="1330" t="str">
        <f t="shared" si="16"/>
        <v>Non renseigné</v>
      </c>
      <c r="M80" s="736" t="str">
        <f t="shared" si="12"/>
        <v>-</v>
      </c>
      <c r="N80" s="822" t="e">
        <f t="shared" si="13"/>
        <v>#VALUE!</v>
      </c>
      <c r="O80" s="733" t="e">
        <f t="shared" si="27"/>
        <v>#VALUE!</v>
      </c>
      <c r="P80" s="822" t="e">
        <f t="shared" si="28"/>
        <v>#VALUE!</v>
      </c>
      <c r="Q80" s="823"/>
      <c r="R80" s="942"/>
      <c r="S80" s="402" t="e">
        <f t="shared" si="29"/>
        <v>#VALUE!</v>
      </c>
      <c r="T80" s="402" t="e">
        <f t="shared" si="30"/>
        <v>#VALUE!</v>
      </c>
      <c r="U80" s="402" t="e">
        <f t="shared" si="31"/>
        <v>#VALUE!</v>
      </c>
      <c r="V80" s="402" t="e">
        <f t="shared" si="32"/>
        <v>#VALUE!</v>
      </c>
      <c r="W80" s="402" t="e">
        <f t="shared" si="33"/>
        <v>#VALUE!</v>
      </c>
      <c r="X80" s="402" t="e">
        <f t="shared" si="34"/>
        <v>#VALUE!</v>
      </c>
      <c r="Y80" s="402" t="e">
        <f t="shared" si="35"/>
        <v>#VALUE!</v>
      </c>
      <c r="Z80" s="402" t="e">
        <f t="shared" si="36"/>
        <v>#VALUE!</v>
      </c>
      <c r="AA80" s="402" t="e">
        <f t="shared" si="37"/>
        <v>#VALUE!</v>
      </c>
      <c r="AB80" s="669" t="e">
        <f t="shared" si="38"/>
        <v>#VALUE!</v>
      </c>
      <c r="AC80" s="403"/>
    </row>
    <row r="81" spans="2:29" s="121" customFormat="1" outlineLevel="1">
      <c r="B81" s="1167"/>
      <c r="C81" s="1168"/>
      <c r="D81" s="1750" t="s">
        <v>290</v>
      </c>
      <c r="E81" s="1751"/>
      <c r="F81" s="1751"/>
      <c r="G81" s="1752"/>
      <c r="H81" s="835"/>
      <c r="I81" s="1327" t="e">
        <f t="shared" si="0"/>
        <v>#DIV/0!</v>
      </c>
      <c r="J81" s="736" t="s">
        <v>365</v>
      </c>
      <c r="K81" s="736" t="s">
        <v>365</v>
      </c>
      <c r="L81" s="1330" t="str">
        <f t="shared" si="16"/>
        <v>Non renseigné</v>
      </c>
      <c r="M81" s="736" t="str">
        <f t="shared" si="12"/>
        <v>-</v>
      </c>
      <c r="N81" s="822" t="e">
        <f t="shared" si="13"/>
        <v>#VALUE!</v>
      </c>
      <c r="O81" s="733" t="e">
        <f t="shared" si="27"/>
        <v>#VALUE!</v>
      </c>
      <c r="P81" s="822" t="e">
        <f t="shared" si="28"/>
        <v>#VALUE!</v>
      </c>
      <c r="Q81" s="823"/>
      <c r="R81" s="942"/>
      <c r="S81" s="402" t="e">
        <f t="shared" si="29"/>
        <v>#VALUE!</v>
      </c>
      <c r="T81" s="402" t="e">
        <f t="shared" si="30"/>
        <v>#VALUE!</v>
      </c>
      <c r="U81" s="402" t="e">
        <f t="shared" si="31"/>
        <v>#VALUE!</v>
      </c>
      <c r="V81" s="402" t="e">
        <f t="shared" si="32"/>
        <v>#VALUE!</v>
      </c>
      <c r="W81" s="402" t="e">
        <f t="shared" si="33"/>
        <v>#VALUE!</v>
      </c>
      <c r="X81" s="402" t="e">
        <f t="shared" si="34"/>
        <v>#VALUE!</v>
      </c>
      <c r="Y81" s="402" t="e">
        <f t="shared" si="35"/>
        <v>#VALUE!</v>
      </c>
      <c r="Z81" s="402" t="e">
        <f t="shared" si="36"/>
        <v>#VALUE!</v>
      </c>
      <c r="AA81" s="402" t="e">
        <f t="shared" si="37"/>
        <v>#VALUE!</v>
      </c>
      <c r="AB81" s="669" t="e">
        <f t="shared" si="38"/>
        <v>#VALUE!</v>
      </c>
      <c r="AC81" s="403"/>
    </row>
    <row r="82" spans="2:29" s="121" customFormat="1" outlineLevel="1">
      <c r="B82" s="1167"/>
      <c r="C82" s="1168"/>
      <c r="D82" s="1750" t="s">
        <v>290</v>
      </c>
      <c r="E82" s="1751"/>
      <c r="F82" s="1751"/>
      <c r="G82" s="1752"/>
      <c r="H82" s="835"/>
      <c r="I82" s="1327" t="e">
        <f t="shared" si="0"/>
        <v>#DIV/0!</v>
      </c>
      <c r="J82" s="736" t="s">
        <v>365</v>
      </c>
      <c r="K82" s="736" t="s">
        <v>365</v>
      </c>
      <c r="L82" s="1330" t="str">
        <f t="shared" si="16"/>
        <v>Non renseigné</v>
      </c>
      <c r="M82" s="736" t="str">
        <f t="shared" si="12"/>
        <v>-</v>
      </c>
      <c r="N82" s="822" t="e">
        <f t="shared" si="13"/>
        <v>#VALUE!</v>
      </c>
      <c r="O82" s="733" t="e">
        <f t="shared" si="27"/>
        <v>#VALUE!</v>
      </c>
      <c r="P82" s="822" t="e">
        <f t="shared" si="28"/>
        <v>#VALUE!</v>
      </c>
      <c r="Q82" s="823"/>
      <c r="R82" s="942"/>
      <c r="S82" s="402" t="e">
        <f t="shared" si="29"/>
        <v>#VALUE!</v>
      </c>
      <c r="T82" s="402" t="e">
        <f t="shared" si="30"/>
        <v>#VALUE!</v>
      </c>
      <c r="U82" s="402" t="e">
        <f t="shared" si="31"/>
        <v>#VALUE!</v>
      </c>
      <c r="V82" s="402" t="e">
        <f t="shared" si="32"/>
        <v>#VALUE!</v>
      </c>
      <c r="W82" s="402" t="e">
        <f t="shared" si="33"/>
        <v>#VALUE!</v>
      </c>
      <c r="X82" s="402" t="e">
        <f t="shared" si="34"/>
        <v>#VALUE!</v>
      </c>
      <c r="Y82" s="402" t="e">
        <f t="shared" si="35"/>
        <v>#VALUE!</v>
      </c>
      <c r="Z82" s="402" t="e">
        <f t="shared" si="36"/>
        <v>#VALUE!</v>
      </c>
      <c r="AA82" s="402" t="e">
        <f t="shared" si="37"/>
        <v>#VALUE!</v>
      </c>
      <c r="AB82" s="669" t="e">
        <f t="shared" si="38"/>
        <v>#VALUE!</v>
      </c>
      <c r="AC82" s="403"/>
    </row>
    <row r="83" spans="2:29" s="121" customFormat="1" outlineLevel="1">
      <c r="B83" s="1167"/>
      <c r="C83" s="1168"/>
      <c r="D83" s="1750" t="s">
        <v>290</v>
      </c>
      <c r="E83" s="1751"/>
      <c r="F83" s="1751"/>
      <c r="G83" s="1752"/>
      <c r="H83" s="835"/>
      <c r="I83" s="1327" t="e">
        <f t="shared" si="0"/>
        <v>#DIV/0!</v>
      </c>
      <c r="J83" s="736" t="s">
        <v>365</v>
      </c>
      <c r="K83" s="736" t="s">
        <v>365</v>
      </c>
      <c r="L83" s="1330" t="str">
        <f t="shared" si="16"/>
        <v>Non renseigné</v>
      </c>
      <c r="M83" s="736" t="str">
        <f t="shared" si="12"/>
        <v>-</v>
      </c>
      <c r="N83" s="822" t="e">
        <f t="shared" si="13"/>
        <v>#VALUE!</v>
      </c>
      <c r="O83" s="733" t="e">
        <f t="shared" si="27"/>
        <v>#VALUE!</v>
      </c>
      <c r="P83" s="822" t="e">
        <f t="shared" si="28"/>
        <v>#VALUE!</v>
      </c>
      <c r="Q83" s="823"/>
      <c r="R83" s="942"/>
      <c r="S83" s="402" t="e">
        <f t="shared" si="29"/>
        <v>#VALUE!</v>
      </c>
      <c r="T83" s="402" t="e">
        <f t="shared" si="30"/>
        <v>#VALUE!</v>
      </c>
      <c r="U83" s="402" t="e">
        <f t="shared" si="31"/>
        <v>#VALUE!</v>
      </c>
      <c r="V83" s="402" t="e">
        <f t="shared" si="32"/>
        <v>#VALUE!</v>
      </c>
      <c r="W83" s="402" t="e">
        <f t="shared" si="33"/>
        <v>#VALUE!</v>
      </c>
      <c r="X83" s="402" t="e">
        <f t="shared" si="34"/>
        <v>#VALUE!</v>
      </c>
      <c r="Y83" s="402" t="e">
        <f t="shared" si="35"/>
        <v>#VALUE!</v>
      </c>
      <c r="Z83" s="402" t="e">
        <f t="shared" si="36"/>
        <v>#VALUE!</v>
      </c>
      <c r="AA83" s="402" t="e">
        <f t="shared" si="37"/>
        <v>#VALUE!</v>
      </c>
      <c r="AB83" s="669" t="e">
        <f t="shared" si="38"/>
        <v>#VALUE!</v>
      </c>
      <c r="AC83" s="403"/>
    </row>
    <row r="84" spans="2:29" s="121" customFormat="1" outlineLevel="1">
      <c r="B84" s="1167"/>
      <c r="C84" s="1168"/>
      <c r="D84" s="1750" t="s">
        <v>290</v>
      </c>
      <c r="E84" s="1751"/>
      <c r="F84" s="1751"/>
      <c r="G84" s="1752"/>
      <c r="H84" s="835"/>
      <c r="I84" s="1327" t="e">
        <f t="shared" si="0"/>
        <v>#DIV/0!</v>
      </c>
      <c r="J84" s="736" t="s">
        <v>365</v>
      </c>
      <c r="K84" s="736" t="s">
        <v>365</v>
      </c>
      <c r="L84" s="1330" t="str">
        <f t="shared" si="16"/>
        <v>Non renseigné</v>
      </c>
      <c r="M84" s="736" t="str">
        <f t="shared" si="12"/>
        <v>-</v>
      </c>
      <c r="N84" s="822" t="e">
        <f t="shared" si="13"/>
        <v>#VALUE!</v>
      </c>
      <c r="O84" s="733" t="e">
        <f t="shared" si="27"/>
        <v>#VALUE!</v>
      </c>
      <c r="P84" s="822" t="e">
        <f t="shared" si="28"/>
        <v>#VALUE!</v>
      </c>
      <c r="Q84" s="823"/>
      <c r="R84" s="942"/>
      <c r="S84" s="402" t="e">
        <f t="shared" si="29"/>
        <v>#VALUE!</v>
      </c>
      <c r="T84" s="402" t="e">
        <f t="shared" si="30"/>
        <v>#VALUE!</v>
      </c>
      <c r="U84" s="402" t="e">
        <f t="shared" si="31"/>
        <v>#VALUE!</v>
      </c>
      <c r="V84" s="402" t="e">
        <f t="shared" si="32"/>
        <v>#VALUE!</v>
      </c>
      <c r="W84" s="402" t="e">
        <f t="shared" si="33"/>
        <v>#VALUE!</v>
      </c>
      <c r="X84" s="402" t="e">
        <f t="shared" si="34"/>
        <v>#VALUE!</v>
      </c>
      <c r="Y84" s="402" t="e">
        <f t="shared" si="35"/>
        <v>#VALUE!</v>
      </c>
      <c r="Z84" s="402" t="e">
        <f t="shared" si="36"/>
        <v>#VALUE!</v>
      </c>
      <c r="AA84" s="402" t="e">
        <f t="shared" si="37"/>
        <v>#VALUE!</v>
      </c>
      <c r="AB84" s="669" t="e">
        <f t="shared" si="38"/>
        <v>#VALUE!</v>
      </c>
      <c r="AC84" s="403"/>
    </row>
    <row r="85" spans="2:29" s="121" customFormat="1" outlineLevel="1">
      <c r="B85" s="1167"/>
      <c r="C85" s="1168"/>
      <c r="D85" s="1750" t="s">
        <v>290</v>
      </c>
      <c r="E85" s="1751"/>
      <c r="F85" s="1751"/>
      <c r="G85" s="1752"/>
      <c r="H85" s="835"/>
      <c r="I85" s="1327" t="e">
        <f t="shared" si="0"/>
        <v>#DIV/0!</v>
      </c>
      <c r="J85" s="736" t="s">
        <v>365</v>
      </c>
      <c r="K85" s="736" t="s">
        <v>365</v>
      </c>
      <c r="L85" s="1330" t="str">
        <f t="shared" si="16"/>
        <v>Non renseigné</v>
      </c>
      <c r="M85" s="736" t="str">
        <f t="shared" si="12"/>
        <v>-</v>
      </c>
      <c r="N85" s="822" t="e">
        <f t="shared" si="13"/>
        <v>#VALUE!</v>
      </c>
      <c r="O85" s="733" t="e">
        <f t="shared" si="27"/>
        <v>#VALUE!</v>
      </c>
      <c r="P85" s="822" t="e">
        <f t="shared" si="28"/>
        <v>#VALUE!</v>
      </c>
      <c r="Q85" s="823"/>
      <c r="R85" s="942"/>
      <c r="S85" s="402" t="e">
        <f t="shared" si="29"/>
        <v>#VALUE!</v>
      </c>
      <c r="T85" s="402" t="e">
        <f t="shared" si="30"/>
        <v>#VALUE!</v>
      </c>
      <c r="U85" s="402" t="e">
        <f t="shared" si="31"/>
        <v>#VALUE!</v>
      </c>
      <c r="V85" s="402" t="e">
        <f t="shared" si="32"/>
        <v>#VALUE!</v>
      </c>
      <c r="W85" s="402" t="e">
        <f t="shared" si="33"/>
        <v>#VALUE!</v>
      </c>
      <c r="X85" s="402" t="e">
        <f t="shared" si="34"/>
        <v>#VALUE!</v>
      </c>
      <c r="Y85" s="402" t="e">
        <f t="shared" si="35"/>
        <v>#VALUE!</v>
      </c>
      <c r="Z85" s="402" t="e">
        <f t="shared" si="36"/>
        <v>#VALUE!</v>
      </c>
      <c r="AA85" s="402" t="e">
        <f t="shared" si="37"/>
        <v>#VALUE!</v>
      </c>
      <c r="AB85" s="669" t="e">
        <f t="shared" si="38"/>
        <v>#VALUE!</v>
      </c>
      <c r="AC85" s="403"/>
    </row>
    <row r="86" spans="2:29" s="121" customFormat="1" outlineLevel="1">
      <c r="B86" s="1167"/>
      <c r="C86" s="1168"/>
      <c r="D86" s="1750" t="s">
        <v>290</v>
      </c>
      <c r="E86" s="1751"/>
      <c r="F86" s="1751"/>
      <c r="G86" s="1752"/>
      <c r="H86" s="835"/>
      <c r="I86" s="1327" t="e">
        <f t="shared" si="0"/>
        <v>#DIV/0!</v>
      </c>
      <c r="J86" s="736" t="s">
        <v>365</v>
      </c>
      <c r="K86" s="736" t="s">
        <v>365</v>
      </c>
      <c r="L86" s="1330" t="str">
        <f t="shared" si="16"/>
        <v>Non renseigné</v>
      </c>
      <c r="M86" s="736" t="str">
        <f t="shared" si="12"/>
        <v>-</v>
      </c>
      <c r="N86" s="822" t="e">
        <f t="shared" si="13"/>
        <v>#VALUE!</v>
      </c>
      <c r="O86" s="733" t="e">
        <f t="shared" si="27"/>
        <v>#VALUE!</v>
      </c>
      <c r="P86" s="822" t="e">
        <f t="shared" si="28"/>
        <v>#VALUE!</v>
      </c>
      <c r="Q86" s="823"/>
      <c r="R86" s="942"/>
      <c r="S86" s="402" t="e">
        <f t="shared" si="29"/>
        <v>#VALUE!</v>
      </c>
      <c r="T86" s="402" t="e">
        <f t="shared" si="30"/>
        <v>#VALUE!</v>
      </c>
      <c r="U86" s="402" t="e">
        <f t="shared" si="31"/>
        <v>#VALUE!</v>
      </c>
      <c r="V86" s="402" t="e">
        <f t="shared" si="32"/>
        <v>#VALUE!</v>
      </c>
      <c r="W86" s="402" t="e">
        <f t="shared" si="33"/>
        <v>#VALUE!</v>
      </c>
      <c r="X86" s="402" t="e">
        <f t="shared" si="34"/>
        <v>#VALUE!</v>
      </c>
      <c r="Y86" s="402" t="e">
        <f t="shared" si="35"/>
        <v>#VALUE!</v>
      </c>
      <c r="Z86" s="402" t="e">
        <f t="shared" si="36"/>
        <v>#VALUE!</v>
      </c>
      <c r="AA86" s="402" t="e">
        <f t="shared" si="37"/>
        <v>#VALUE!</v>
      </c>
      <c r="AB86" s="669" t="e">
        <f t="shared" si="38"/>
        <v>#VALUE!</v>
      </c>
      <c r="AC86" s="403"/>
    </row>
    <row r="87" spans="2:29" s="121" customFormat="1" outlineLevel="1">
      <c r="B87" s="1167"/>
      <c r="C87" s="1168"/>
      <c r="D87" s="1750" t="s">
        <v>290</v>
      </c>
      <c r="E87" s="1751"/>
      <c r="F87" s="1751"/>
      <c r="G87" s="1752"/>
      <c r="H87" s="835"/>
      <c r="I87" s="1327" t="e">
        <f t="shared" si="0"/>
        <v>#DIV/0!</v>
      </c>
      <c r="J87" s="736" t="s">
        <v>365</v>
      </c>
      <c r="K87" s="736" t="s">
        <v>365</v>
      </c>
      <c r="L87" s="1330" t="str">
        <f t="shared" si="16"/>
        <v>Non renseigné</v>
      </c>
      <c r="M87" s="736" t="str">
        <f t="shared" si="12"/>
        <v>-</v>
      </c>
      <c r="N87" s="822" t="e">
        <f t="shared" si="13"/>
        <v>#VALUE!</v>
      </c>
      <c r="O87" s="733" t="e">
        <f t="shared" si="27"/>
        <v>#VALUE!</v>
      </c>
      <c r="P87" s="822" t="e">
        <f t="shared" si="28"/>
        <v>#VALUE!</v>
      </c>
      <c r="Q87" s="823"/>
      <c r="R87" s="942"/>
      <c r="S87" s="402" t="e">
        <f t="shared" si="29"/>
        <v>#VALUE!</v>
      </c>
      <c r="T87" s="402" t="e">
        <f t="shared" si="30"/>
        <v>#VALUE!</v>
      </c>
      <c r="U87" s="402" t="e">
        <f t="shared" si="31"/>
        <v>#VALUE!</v>
      </c>
      <c r="V87" s="402" t="e">
        <f t="shared" si="32"/>
        <v>#VALUE!</v>
      </c>
      <c r="W87" s="402" t="e">
        <f t="shared" si="33"/>
        <v>#VALUE!</v>
      </c>
      <c r="X87" s="402" t="e">
        <f t="shared" si="34"/>
        <v>#VALUE!</v>
      </c>
      <c r="Y87" s="402" t="e">
        <f t="shared" si="35"/>
        <v>#VALUE!</v>
      </c>
      <c r="Z87" s="402" t="e">
        <f t="shared" si="36"/>
        <v>#VALUE!</v>
      </c>
      <c r="AA87" s="402" t="e">
        <f t="shared" si="37"/>
        <v>#VALUE!</v>
      </c>
      <c r="AB87" s="669" t="e">
        <f t="shared" si="38"/>
        <v>#VALUE!</v>
      </c>
      <c r="AC87" s="403"/>
    </row>
    <row r="88" spans="2:29" s="121" customFormat="1" outlineLevel="1">
      <c r="B88" s="1167"/>
      <c r="C88" s="1168"/>
      <c r="D88" s="1750" t="s">
        <v>290</v>
      </c>
      <c r="E88" s="1751"/>
      <c r="F88" s="1751"/>
      <c r="G88" s="1752"/>
      <c r="H88" s="835"/>
      <c r="I88" s="1327" t="e">
        <f t="shared" si="0"/>
        <v>#DIV/0!</v>
      </c>
      <c r="J88" s="736" t="s">
        <v>365</v>
      </c>
      <c r="K88" s="736" t="s">
        <v>365</v>
      </c>
      <c r="L88" s="1330" t="str">
        <f t="shared" si="16"/>
        <v>Non renseigné</v>
      </c>
      <c r="M88" s="736" t="str">
        <f t="shared" si="12"/>
        <v>-</v>
      </c>
      <c r="N88" s="822" t="e">
        <f t="shared" si="13"/>
        <v>#VALUE!</v>
      </c>
      <c r="O88" s="733" t="e">
        <f t="shared" si="27"/>
        <v>#VALUE!</v>
      </c>
      <c r="P88" s="822" t="e">
        <f t="shared" si="28"/>
        <v>#VALUE!</v>
      </c>
      <c r="Q88" s="823"/>
      <c r="R88" s="942"/>
      <c r="S88" s="402" t="e">
        <f t="shared" si="29"/>
        <v>#VALUE!</v>
      </c>
      <c r="T88" s="402" t="e">
        <f t="shared" si="30"/>
        <v>#VALUE!</v>
      </c>
      <c r="U88" s="402" t="e">
        <f t="shared" si="31"/>
        <v>#VALUE!</v>
      </c>
      <c r="V88" s="402" t="e">
        <f t="shared" si="32"/>
        <v>#VALUE!</v>
      </c>
      <c r="W88" s="402" t="e">
        <f t="shared" si="33"/>
        <v>#VALUE!</v>
      </c>
      <c r="X88" s="402" t="e">
        <f t="shared" si="34"/>
        <v>#VALUE!</v>
      </c>
      <c r="Y88" s="402" t="e">
        <f t="shared" si="35"/>
        <v>#VALUE!</v>
      </c>
      <c r="Z88" s="402" t="e">
        <f t="shared" si="36"/>
        <v>#VALUE!</v>
      </c>
      <c r="AA88" s="402" t="e">
        <f t="shared" si="37"/>
        <v>#VALUE!</v>
      </c>
      <c r="AB88" s="669" t="e">
        <f t="shared" si="38"/>
        <v>#VALUE!</v>
      </c>
      <c r="AC88" s="403"/>
    </row>
    <row r="89" spans="2:29" s="121" customFormat="1" outlineLevel="1">
      <c r="B89" s="1167"/>
      <c r="C89" s="1168"/>
      <c r="D89" s="1750" t="s">
        <v>290</v>
      </c>
      <c r="E89" s="1751"/>
      <c r="F89" s="1751"/>
      <c r="G89" s="1752"/>
      <c r="H89" s="835"/>
      <c r="I89" s="1327" t="e">
        <f t="shared" si="0"/>
        <v>#DIV/0!</v>
      </c>
      <c r="J89" s="736" t="s">
        <v>365</v>
      </c>
      <c r="K89" s="736" t="s">
        <v>365</v>
      </c>
      <c r="L89" s="1330" t="str">
        <f t="shared" si="16"/>
        <v>Non renseigné</v>
      </c>
      <c r="M89" s="736" t="str">
        <f t="shared" si="12"/>
        <v>-</v>
      </c>
      <c r="N89" s="822" t="e">
        <f t="shared" si="13"/>
        <v>#VALUE!</v>
      </c>
      <c r="O89" s="733" t="e">
        <f t="shared" si="27"/>
        <v>#VALUE!</v>
      </c>
      <c r="P89" s="822" t="e">
        <f t="shared" si="28"/>
        <v>#VALUE!</v>
      </c>
      <c r="Q89" s="823"/>
      <c r="R89" s="942"/>
      <c r="S89" s="402" t="e">
        <f t="shared" si="29"/>
        <v>#VALUE!</v>
      </c>
      <c r="T89" s="402" t="e">
        <f t="shared" si="30"/>
        <v>#VALUE!</v>
      </c>
      <c r="U89" s="402" t="e">
        <f t="shared" si="31"/>
        <v>#VALUE!</v>
      </c>
      <c r="V89" s="402" t="e">
        <f t="shared" si="32"/>
        <v>#VALUE!</v>
      </c>
      <c r="W89" s="402" t="e">
        <f t="shared" si="33"/>
        <v>#VALUE!</v>
      </c>
      <c r="X89" s="402" t="e">
        <f t="shared" si="34"/>
        <v>#VALUE!</v>
      </c>
      <c r="Y89" s="402" t="e">
        <f t="shared" si="35"/>
        <v>#VALUE!</v>
      </c>
      <c r="Z89" s="402" t="e">
        <f t="shared" si="36"/>
        <v>#VALUE!</v>
      </c>
      <c r="AA89" s="402" t="e">
        <f t="shared" si="37"/>
        <v>#VALUE!</v>
      </c>
      <c r="AB89" s="669" t="e">
        <f t="shared" si="38"/>
        <v>#VALUE!</v>
      </c>
      <c r="AC89" s="403"/>
    </row>
    <row r="90" spans="2:29" s="121" customFormat="1" outlineLevel="1">
      <c r="B90" s="1167"/>
      <c r="C90" s="1168"/>
      <c r="D90" s="1750" t="s">
        <v>290</v>
      </c>
      <c r="E90" s="1751"/>
      <c r="F90" s="1751"/>
      <c r="G90" s="1752"/>
      <c r="H90" s="835"/>
      <c r="I90" s="1327" t="e">
        <f t="shared" si="0"/>
        <v>#DIV/0!</v>
      </c>
      <c r="J90" s="736" t="s">
        <v>365</v>
      </c>
      <c r="K90" s="736" t="s">
        <v>365</v>
      </c>
      <c r="L90" s="1330" t="str">
        <f t="shared" si="16"/>
        <v>Non renseigné</v>
      </c>
      <c r="M90" s="736" t="str">
        <f t="shared" si="12"/>
        <v>-</v>
      </c>
      <c r="N90" s="822" t="e">
        <f t="shared" si="13"/>
        <v>#VALUE!</v>
      </c>
      <c r="O90" s="733" t="e">
        <f t="shared" si="27"/>
        <v>#VALUE!</v>
      </c>
      <c r="P90" s="822" t="e">
        <f t="shared" si="28"/>
        <v>#VALUE!</v>
      </c>
      <c r="Q90" s="823"/>
      <c r="R90" s="942"/>
      <c r="S90" s="402" t="e">
        <f t="shared" si="29"/>
        <v>#VALUE!</v>
      </c>
      <c r="T90" s="402" t="e">
        <f t="shared" si="30"/>
        <v>#VALUE!</v>
      </c>
      <c r="U90" s="402" t="e">
        <f t="shared" si="31"/>
        <v>#VALUE!</v>
      </c>
      <c r="V90" s="402" t="e">
        <f t="shared" si="32"/>
        <v>#VALUE!</v>
      </c>
      <c r="W90" s="402" t="e">
        <f t="shared" si="33"/>
        <v>#VALUE!</v>
      </c>
      <c r="X90" s="402" t="e">
        <f t="shared" si="34"/>
        <v>#VALUE!</v>
      </c>
      <c r="Y90" s="402" t="e">
        <f t="shared" si="35"/>
        <v>#VALUE!</v>
      </c>
      <c r="Z90" s="402" t="e">
        <f t="shared" si="36"/>
        <v>#VALUE!</v>
      </c>
      <c r="AA90" s="402" t="e">
        <f t="shared" si="37"/>
        <v>#VALUE!</v>
      </c>
      <c r="AB90" s="669" t="e">
        <f t="shared" si="38"/>
        <v>#VALUE!</v>
      </c>
      <c r="AC90" s="403"/>
    </row>
    <row r="91" spans="2:29" s="121" customFormat="1" outlineLevel="1">
      <c r="B91" s="1167"/>
      <c r="C91" s="1168"/>
      <c r="D91" s="1750" t="s">
        <v>290</v>
      </c>
      <c r="E91" s="1751"/>
      <c r="F91" s="1751"/>
      <c r="G91" s="1752"/>
      <c r="H91" s="835"/>
      <c r="I91" s="1327" t="e">
        <f t="shared" si="0"/>
        <v>#DIV/0!</v>
      </c>
      <c r="J91" s="736" t="s">
        <v>365</v>
      </c>
      <c r="K91" s="736" t="s">
        <v>365</v>
      </c>
      <c r="L91" s="1330" t="str">
        <f t="shared" si="16"/>
        <v>Non renseigné</v>
      </c>
      <c r="M91" s="736" t="str">
        <f t="shared" si="12"/>
        <v>-</v>
      </c>
      <c r="N91" s="822" t="e">
        <f t="shared" si="13"/>
        <v>#VALUE!</v>
      </c>
      <c r="O91" s="733" t="e">
        <f t="shared" si="27"/>
        <v>#VALUE!</v>
      </c>
      <c r="P91" s="822" t="e">
        <f t="shared" si="28"/>
        <v>#VALUE!</v>
      </c>
      <c r="Q91" s="823"/>
      <c r="R91" s="942"/>
      <c r="S91" s="402" t="e">
        <f t="shared" si="29"/>
        <v>#VALUE!</v>
      </c>
      <c r="T91" s="402" t="e">
        <f t="shared" si="30"/>
        <v>#VALUE!</v>
      </c>
      <c r="U91" s="402" t="e">
        <f t="shared" si="31"/>
        <v>#VALUE!</v>
      </c>
      <c r="V91" s="402" t="e">
        <f t="shared" si="32"/>
        <v>#VALUE!</v>
      </c>
      <c r="W91" s="402" t="e">
        <f t="shared" si="33"/>
        <v>#VALUE!</v>
      </c>
      <c r="X91" s="402" t="e">
        <f t="shared" si="34"/>
        <v>#VALUE!</v>
      </c>
      <c r="Y91" s="402" t="e">
        <f t="shared" si="35"/>
        <v>#VALUE!</v>
      </c>
      <c r="Z91" s="402" t="e">
        <f t="shared" si="36"/>
        <v>#VALUE!</v>
      </c>
      <c r="AA91" s="402" t="e">
        <f t="shared" si="37"/>
        <v>#VALUE!</v>
      </c>
      <c r="AB91" s="669" t="e">
        <f t="shared" si="38"/>
        <v>#VALUE!</v>
      </c>
      <c r="AC91" s="403"/>
    </row>
    <row r="92" spans="2:29" s="121" customFormat="1" outlineLevel="1">
      <c r="B92" s="1167"/>
      <c r="C92" s="1168"/>
      <c r="D92" s="1750" t="s">
        <v>290</v>
      </c>
      <c r="E92" s="1751"/>
      <c r="F92" s="1751"/>
      <c r="G92" s="1752"/>
      <c r="H92" s="835"/>
      <c r="I92" s="1327" t="e">
        <f t="shared" si="0"/>
        <v>#DIV/0!</v>
      </c>
      <c r="J92" s="736" t="s">
        <v>365</v>
      </c>
      <c r="K92" s="736" t="s">
        <v>365</v>
      </c>
      <c r="L92" s="1330" t="str">
        <f t="shared" si="16"/>
        <v>Non renseigné</v>
      </c>
      <c r="M92" s="736" t="str">
        <f t="shared" si="12"/>
        <v>-</v>
      </c>
      <c r="N92" s="822" t="e">
        <f t="shared" si="13"/>
        <v>#VALUE!</v>
      </c>
      <c r="O92" s="733" t="e">
        <f t="shared" si="27"/>
        <v>#VALUE!</v>
      </c>
      <c r="P92" s="822" t="e">
        <f t="shared" si="28"/>
        <v>#VALUE!</v>
      </c>
      <c r="Q92" s="823"/>
      <c r="R92" s="942"/>
      <c r="S92" s="402" t="e">
        <f t="shared" si="29"/>
        <v>#VALUE!</v>
      </c>
      <c r="T92" s="402" t="e">
        <f t="shared" si="30"/>
        <v>#VALUE!</v>
      </c>
      <c r="U92" s="402" t="e">
        <f t="shared" si="31"/>
        <v>#VALUE!</v>
      </c>
      <c r="V92" s="402" t="e">
        <f t="shared" si="32"/>
        <v>#VALUE!</v>
      </c>
      <c r="W92" s="402" t="e">
        <f t="shared" si="33"/>
        <v>#VALUE!</v>
      </c>
      <c r="X92" s="402" t="e">
        <f t="shared" si="34"/>
        <v>#VALUE!</v>
      </c>
      <c r="Y92" s="402" t="e">
        <f t="shared" si="35"/>
        <v>#VALUE!</v>
      </c>
      <c r="Z92" s="402" t="e">
        <f t="shared" si="36"/>
        <v>#VALUE!</v>
      </c>
      <c r="AA92" s="402" t="e">
        <f t="shared" si="37"/>
        <v>#VALUE!</v>
      </c>
      <c r="AB92" s="669" t="e">
        <f t="shared" si="38"/>
        <v>#VALUE!</v>
      </c>
      <c r="AC92" s="403"/>
    </row>
    <row r="93" spans="2:29" s="121" customFormat="1" outlineLevel="1">
      <c r="B93" s="1167"/>
      <c r="C93" s="1168"/>
      <c r="D93" s="1750" t="s">
        <v>290</v>
      </c>
      <c r="E93" s="1751"/>
      <c r="F93" s="1751"/>
      <c r="G93" s="1752"/>
      <c r="H93" s="835"/>
      <c r="I93" s="1327" t="e">
        <f t="shared" si="0"/>
        <v>#DIV/0!</v>
      </c>
      <c r="J93" s="736" t="s">
        <v>365</v>
      </c>
      <c r="K93" s="736" t="s">
        <v>365</v>
      </c>
      <c r="L93" s="1330" t="str">
        <f t="shared" si="16"/>
        <v>Non renseigné</v>
      </c>
      <c r="M93" s="736" t="str">
        <f t="shared" si="12"/>
        <v>-</v>
      </c>
      <c r="N93" s="822" t="e">
        <f t="shared" si="13"/>
        <v>#VALUE!</v>
      </c>
      <c r="O93" s="733" t="e">
        <f t="shared" si="27"/>
        <v>#VALUE!</v>
      </c>
      <c r="P93" s="822" t="e">
        <f t="shared" si="28"/>
        <v>#VALUE!</v>
      </c>
      <c r="Q93" s="823"/>
      <c r="R93" s="942"/>
      <c r="S93" s="402" t="e">
        <f t="shared" si="29"/>
        <v>#VALUE!</v>
      </c>
      <c r="T93" s="402" t="e">
        <f t="shared" si="30"/>
        <v>#VALUE!</v>
      </c>
      <c r="U93" s="402" t="e">
        <f t="shared" si="31"/>
        <v>#VALUE!</v>
      </c>
      <c r="V93" s="402" t="e">
        <f t="shared" si="32"/>
        <v>#VALUE!</v>
      </c>
      <c r="W93" s="402" t="e">
        <f t="shared" si="33"/>
        <v>#VALUE!</v>
      </c>
      <c r="X93" s="402" t="e">
        <f t="shared" si="34"/>
        <v>#VALUE!</v>
      </c>
      <c r="Y93" s="402" t="e">
        <f t="shared" si="35"/>
        <v>#VALUE!</v>
      </c>
      <c r="Z93" s="402" t="e">
        <f t="shared" si="36"/>
        <v>#VALUE!</v>
      </c>
      <c r="AA93" s="402" t="e">
        <f t="shared" si="37"/>
        <v>#VALUE!</v>
      </c>
      <c r="AB93" s="669" t="e">
        <f t="shared" si="38"/>
        <v>#VALUE!</v>
      </c>
      <c r="AC93" s="403"/>
    </row>
    <row r="94" spans="2:29" s="121" customFormat="1" outlineLevel="1">
      <c r="B94" s="1167"/>
      <c r="C94" s="1168"/>
      <c r="D94" s="1750" t="s">
        <v>290</v>
      </c>
      <c r="E94" s="1751"/>
      <c r="F94" s="1751"/>
      <c r="G94" s="1752"/>
      <c r="H94" s="835"/>
      <c r="I94" s="1327" t="e">
        <f t="shared" si="0"/>
        <v>#DIV/0!</v>
      </c>
      <c r="J94" s="736" t="s">
        <v>365</v>
      </c>
      <c r="K94" s="736" t="s">
        <v>365</v>
      </c>
      <c r="L94" s="1330" t="str">
        <f t="shared" si="16"/>
        <v>Non renseigné</v>
      </c>
      <c r="M94" s="736" t="str">
        <f t="shared" si="12"/>
        <v>-</v>
      </c>
      <c r="N94" s="822" t="e">
        <f t="shared" si="13"/>
        <v>#VALUE!</v>
      </c>
      <c r="O94" s="733" t="e">
        <f t="shared" si="27"/>
        <v>#VALUE!</v>
      </c>
      <c r="P94" s="822" t="e">
        <f t="shared" si="28"/>
        <v>#VALUE!</v>
      </c>
      <c r="Q94" s="823"/>
      <c r="R94" s="942"/>
      <c r="S94" s="402" t="e">
        <f t="shared" si="29"/>
        <v>#VALUE!</v>
      </c>
      <c r="T94" s="402" t="e">
        <f t="shared" si="30"/>
        <v>#VALUE!</v>
      </c>
      <c r="U94" s="402" t="e">
        <f t="shared" si="31"/>
        <v>#VALUE!</v>
      </c>
      <c r="V94" s="402" t="e">
        <f t="shared" si="32"/>
        <v>#VALUE!</v>
      </c>
      <c r="W94" s="402" t="e">
        <f t="shared" si="33"/>
        <v>#VALUE!</v>
      </c>
      <c r="X94" s="402" t="e">
        <f t="shared" si="34"/>
        <v>#VALUE!</v>
      </c>
      <c r="Y94" s="402" t="e">
        <f t="shared" si="35"/>
        <v>#VALUE!</v>
      </c>
      <c r="Z94" s="402" t="e">
        <f t="shared" si="36"/>
        <v>#VALUE!</v>
      </c>
      <c r="AA94" s="402" t="e">
        <f t="shared" si="37"/>
        <v>#VALUE!</v>
      </c>
      <c r="AB94" s="669" t="e">
        <f t="shared" si="38"/>
        <v>#VALUE!</v>
      </c>
      <c r="AC94" s="403"/>
    </row>
    <row r="95" spans="2:29" s="121" customFormat="1" outlineLevel="1">
      <c r="B95" s="1167"/>
      <c r="C95" s="1168"/>
      <c r="D95" s="1750" t="s">
        <v>290</v>
      </c>
      <c r="E95" s="1751"/>
      <c r="F95" s="1751"/>
      <c r="G95" s="1752"/>
      <c r="H95" s="835"/>
      <c r="I95" s="1327" t="e">
        <f t="shared" si="0"/>
        <v>#DIV/0!</v>
      </c>
      <c r="J95" s="736" t="s">
        <v>365</v>
      </c>
      <c r="K95" s="736" t="s">
        <v>365</v>
      </c>
      <c r="L95" s="1330" t="str">
        <f t="shared" si="16"/>
        <v>Non renseigné</v>
      </c>
      <c r="M95" s="736" t="str">
        <f t="shared" si="12"/>
        <v>-</v>
      </c>
      <c r="N95" s="822" t="e">
        <f t="shared" si="13"/>
        <v>#VALUE!</v>
      </c>
      <c r="O95" s="733" t="e">
        <f t="shared" si="27"/>
        <v>#VALUE!</v>
      </c>
      <c r="P95" s="822" t="e">
        <f t="shared" si="28"/>
        <v>#VALUE!</v>
      </c>
      <c r="Q95" s="823"/>
      <c r="R95" s="942"/>
      <c r="S95" s="402" t="e">
        <f t="shared" si="29"/>
        <v>#VALUE!</v>
      </c>
      <c r="T95" s="402" t="e">
        <f t="shared" si="30"/>
        <v>#VALUE!</v>
      </c>
      <c r="U95" s="402" t="e">
        <f t="shared" si="31"/>
        <v>#VALUE!</v>
      </c>
      <c r="V95" s="402" t="e">
        <f t="shared" si="32"/>
        <v>#VALUE!</v>
      </c>
      <c r="W95" s="402" t="e">
        <f t="shared" si="33"/>
        <v>#VALUE!</v>
      </c>
      <c r="X95" s="402" t="e">
        <f t="shared" si="34"/>
        <v>#VALUE!</v>
      </c>
      <c r="Y95" s="402" t="e">
        <f t="shared" si="35"/>
        <v>#VALUE!</v>
      </c>
      <c r="Z95" s="402" t="e">
        <f t="shared" si="36"/>
        <v>#VALUE!</v>
      </c>
      <c r="AA95" s="402" t="e">
        <f t="shared" si="37"/>
        <v>#VALUE!</v>
      </c>
      <c r="AB95" s="669" t="e">
        <f t="shared" si="38"/>
        <v>#VALUE!</v>
      </c>
      <c r="AC95" s="403"/>
    </row>
    <row r="96" spans="2:29" s="121" customFormat="1" outlineLevel="1">
      <c r="B96" s="1167"/>
      <c r="C96" s="1168"/>
      <c r="D96" s="1750" t="s">
        <v>290</v>
      </c>
      <c r="E96" s="1751"/>
      <c r="F96" s="1751"/>
      <c r="G96" s="1752"/>
      <c r="H96" s="835"/>
      <c r="I96" s="1327" t="e">
        <f t="shared" si="0"/>
        <v>#DIV/0!</v>
      </c>
      <c r="J96" s="736" t="s">
        <v>365</v>
      </c>
      <c r="K96" s="736" t="s">
        <v>365</v>
      </c>
      <c r="L96" s="1330" t="str">
        <f t="shared" si="16"/>
        <v>Non renseigné</v>
      </c>
      <c r="M96" s="736" t="str">
        <f t="shared" si="12"/>
        <v>-</v>
      </c>
      <c r="N96" s="822" t="e">
        <f t="shared" si="13"/>
        <v>#VALUE!</v>
      </c>
      <c r="O96" s="733" t="e">
        <f t="shared" si="27"/>
        <v>#VALUE!</v>
      </c>
      <c r="P96" s="822" t="e">
        <f t="shared" si="28"/>
        <v>#VALUE!</v>
      </c>
      <c r="Q96" s="823"/>
      <c r="R96" s="942"/>
      <c r="S96" s="402" t="e">
        <f t="shared" si="29"/>
        <v>#VALUE!</v>
      </c>
      <c r="T96" s="402" t="e">
        <f t="shared" si="30"/>
        <v>#VALUE!</v>
      </c>
      <c r="U96" s="402" t="e">
        <f t="shared" si="31"/>
        <v>#VALUE!</v>
      </c>
      <c r="V96" s="402" t="e">
        <f t="shared" si="32"/>
        <v>#VALUE!</v>
      </c>
      <c r="W96" s="402" t="e">
        <f t="shared" si="33"/>
        <v>#VALUE!</v>
      </c>
      <c r="X96" s="402" t="e">
        <f t="shared" si="34"/>
        <v>#VALUE!</v>
      </c>
      <c r="Y96" s="402" t="e">
        <f t="shared" si="35"/>
        <v>#VALUE!</v>
      </c>
      <c r="Z96" s="402" t="e">
        <f t="shared" si="36"/>
        <v>#VALUE!</v>
      </c>
      <c r="AA96" s="402" t="e">
        <f t="shared" si="37"/>
        <v>#VALUE!</v>
      </c>
      <c r="AB96" s="669" t="e">
        <f t="shared" si="38"/>
        <v>#VALUE!</v>
      </c>
      <c r="AC96" s="403"/>
    </row>
    <row r="97" spans="2:29" s="121" customFormat="1" outlineLevel="1">
      <c r="B97" s="1167"/>
      <c r="C97" s="1168"/>
      <c r="D97" s="1750" t="s">
        <v>290</v>
      </c>
      <c r="E97" s="1751"/>
      <c r="F97" s="1751"/>
      <c r="G97" s="1752"/>
      <c r="H97" s="835"/>
      <c r="I97" s="1327" t="e">
        <f t="shared" si="0"/>
        <v>#DIV/0!</v>
      </c>
      <c r="J97" s="736" t="s">
        <v>365</v>
      </c>
      <c r="K97" s="736" t="s">
        <v>365</v>
      </c>
      <c r="L97" s="1330" t="str">
        <f t="shared" si="16"/>
        <v>Non renseigné</v>
      </c>
      <c r="M97" s="736" t="str">
        <f t="shared" si="12"/>
        <v>-</v>
      </c>
      <c r="N97" s="822" t="e">
        <f t="shared" si="13"/>
        <v>#VALUE!</v>
      </c>
      <c r="O97" s="733" t="e">
        <f t="shared" si="27"/>
        <v>#VALUE!</v>
      </c>
      <c r="P97" s="822" t="e">
        <f t="shared" si="28"/>
        <v>#VALUE!</v>
      </c>
      <c r="Q97" s="823"/>
      <c r="R97" s="942"/>
      <c r="S97" s="402" t="e">
        <f t="shared" si="29"/>
        <v>#VALUE!</v>
      </c>
      <c r="T97" s="402" t="e">
        <f t="shared" si="30"/>
        <v>#VALUE!</v>
      </c>
      <c r="U97" s="402" t="e">
        <f t="shared" si="31"/>
        <v>#VALUE!</v>
      </c>
      <c r="V97" s="402" t="e">
        <f t="shared" si="32"/>
        <v>#VALUE!</v>
      </c>
      <c r="W97" s="402" t="e">
        <f t="shared" si="33"/>
        <v>#VALUE!</v>
      </c>
      <c r="X97" s="402" t="e">
        <f t="shared" si="34"/>
        <v>#VALUE!</v>
      </c>
      <c r="Y97" s="402" t="e">
        <f t="shared" si="35"/>
        <v>#VALUE!</v>
      </c>
      <c r="Z97" s="402" t="e">
        <f t="shared" si="36"/>
        <v>#VALUE!</v>
      </c>
      <c r="AA97" s="402" t="e">
        <f t="shared" si="37"/>
        <v>#VALUE!</v>
      </c>
      <c r="AB97" s="669" t="e">
        <f t="shared" si="38"/>
        <v>#VALUE!</v>
      </c>
      <c r="AC97" s="403"/>
    </row>
    <row r="98" spans="2:29" s="121" customFormat="1" outlineLevel="1">
      <c r="B98" s="1167"/>
      <c r="C98" s="1168"/>
      <c r="D98" s="1750" t="s">
        <v>290</v>
      </c>
      <c r="E98" s="1751"/>
      <c r="F98" s="1751"/>
      <c r="G98" s="1752"/>
      <c r="H98" s="835"/>
      <c r="I98" s="1327" t="e">
        <f t="shared" si="0"/>
        <v>#DIV/0!</v>
      </c>
      <c r="J98" s="736" t="s">
        <v>365</v>
      </c>
      <c r="K98" s="736" t="s">
        <v>365</v>
      </c>
      <c r="L98" s="1330" t="str">
        <f t="shared" si="16"/>
        <v>Non renseigné</v>
      </c>
      <c r="M98" s="736" t="str">
        <f t="shared" si="12"/>
        <v>-</v>
      </c>
      <c r="N98" s="822" t="e">
        <f t="shared" si="13"/>
        <v>#VALUE!</v>
      </c>
      <c r="O98" s="733" t="e">
        <f t="shared" si="27"/>
        <v>#VALUE!</v>
      </c>
      <c r="P98" s="822" t="e">
        <f t="shared" si="28"/>
        <v>#VALUE!</v>
      </c>
      <c r="Q98" s="823"/>
      <c r="R98" s="942"/>
      <c r="S98" s="402" t="e">
        <f t="shared" si="29"/>
        <v>#VALUE!</v>
      </c>
      <c r="T98" s="402" t="e">
        <f t="shared" si="30"/>
        <v>#VALUE!</v>
      </c>
      <c r="U98" s="402" t="e">
        <f t="shared" si="31"/>
        <v>#VALUE!</v>
      </c>
      <c r="V98" s="402" t="e">
        <f t="shared" si="32"/>
        <v>#VALUE!</v>
      </c>
      <c r="W98" s="402" t="e">
        <f t="shared" si="33"/>
        <v>#VALUE!</v>
      </c>
      <c r="X98" s="402" t="e">
        <f t="shared" si="34"/>
        <v>#VALUE!</v>
      </c>
      <c r="Y98" s="402" t="e">
        <f t="shared" si="35"/>
        <v>#VALUE!</v>
      </c>
      <c r="Z98" s="402" t="e">
        <f t="shared" si="36"/>
        <v>#VALUE!</v>
      </c>
      <c r="AA98" s="402" t="e">
        <f t="shared" si="37"/>
        <v>#VALUE!</v>
      </c>
      <c r="AB98" s="669" t="e">
        <f t="shared" si="38"/>
        <v>#VALUE!</v>
      </c>
      <c r="AC98" s="403"/>
    </row>
    <row r="99" spans="2:29" s="121" customFormat="1" outlineLevel="1">
      <c r="B99" s="1167"/>
      <c r="C99" s="1168"/>
      <c r="D99" s="1750" t="s">
        <v>290</v>
      </c>
      <c r="E99" s="1751"/>
      <c r="F99" s="1751"/>
      <c r="G99" s="1752"/>
      <c r="H99" s="835"/>
      <c r="I99" s="1327" t="e">
        <f t="shared" si="0"/>
        <v>#DIV/0!</v>
      </c>
      <c r="J99" s="736" t="s">
        <v>365</v>
      </c>
      <c r="K99" s="736" t="s">
        <v>365</v>
      </c>
      <c r="L99" s="1330" t="str">
        <f t="shared" si="16"/>
        <v>Non renseigné</v>
      </c>
      <c r="M99" s="736" t="str">
        <f t="shared" si="12"/>
        <v>-</v>
      </c>
      <c r="N99" s="822" t="e">
        <f t="shared" si="13"/>
        <v>#VALUE!</v>
      </c>
      <c r="O99" s="733" t="e">
        <f t="shared" si="27"/>
        <v>#VALUE!</v>
      </c>
      <c r="P99" s="822" t="e">
        <f t="shared" si="28"/>
        <v>#VALUE!</v>
      </c>
      <c r="Q99" s="823"/>
      <c r="R99" s="942"/>
      <c r="S99" s="402" t="e">
        <f t="shared" si="29"/>
        <v>#VALUE!</v>
      </c>
      <c r="T99" s="402" t="e">
        <f t="shared" si="30"/>
        <v>#VALUE!</v>
      </c>
      <c r="U99" s="402" t="e">
        <f t="shared" si="31"/>
        <v>#VALUE!</v>
      </c>
      <c r="V99" s="402" t="e">
        <f t="shared" si="32"/>
        <v>#VALUE!</v>
      </c>
      <c r="W99" s="402" t="e">
        <f t="shared" si="33"/>
        <v>#VALUE!</v>
      </c>
      <c r="X99" s="402" t="e">
        <f t="shared" si="34"/>
        <v>#VALUE!</v>
      </c>
      <c r="Y99" s="402" t="e">
        <f t="shared" si="35"/>
        <v>#VALUE!</v>
      </c>
      <c r="Z99" s="402" t="e">
        <f t="shared" si="36"/>
        <v>#VALUE!</v>
      </c>
      <c r="AA99" s="402" t="e">
        <f t="shared" si="37"/>
        <v>#VALUE!</v>
      </c>
      <c r="AB99" s="669" t="e">
        <f t="shared" si="38"/>
        <v>#VALUE!</v>
      </c>
      <c r="AC99" s="403"/>
    </row>
    <row r="100" spans="2:29" s="121" customFormat="1" outlineLevel="1">
      <c r="B100" s="1167"/>
      <c r="C100" s="1168"/>
      <c r="D100" s="1750" t="s">
        <v>290</v>
      </c>
      <c r="E100" s="1751"/>
      <c r="F100" s="1751"/>
      <c r="G100" s="1752"/>
      <c r="H100" s="835"/>
      <c r="I100" s="1327" t="e">
        <f t="shared" si="0"/>
        <v>#DIV/0!</v>
      </c>
      <c r="J100" s="736" t="s">
        <v>365</v>
      </c>
      <c r="K100" s="736" t="s">
        <v>365</v>
      </c>
      <c r="L100" s="1330" t="str">
        <f t="shared" si="16"/>
        <v>Non renseigné</v>
      </c>
      <c r="M100" s="736" t="str">
        <f t="shared" si="12"/>
        <v>-</v>
      </c>
      <c r="N100" s="822" t="e">
        <f t="shared" si="13"/>
        <v>#VALUE!</v>
      </c>
      <c r="O100" s="733" t="e">
        <f t="shared" si="27"/>
        <v>#VALUE!</v>
      </c>
      <c r="P100" s="822" t="e">
        <f t="shared" si="28"/>
        <v>#VALUE!</v>
      </c>
      <c r="Q100" s="823"/>
      <c r="R100" s="942"/>
      <c r="S100" s="402" t="e">
        <f t="shared" si="29"/>
        <v>#VALUE!</v>
      </c>
      <c r="T100" s="402" t="e">
        <f t="shared" si="30"/>
        <v>#VALUE!</v>
      </c>
      <c r="U100" s="402" t="e">
        <f t="shared" si="31"/>
        <v>#VALUE!</v>
      </c>
      <c r="V100" s="402" t="e">
        <f t="shared" si="32"/>
        <v>#VALUE!</v>
      </c>
      <c r="W100" s="402" t="e">
        <f t="shared" si="33"/>
        <v>#VALUE!</v>
      </c>
      <c r="X100" s="402" t="e">
        <f t="shared" si="34"/>
        <v>#VALUE!</v>
      </c>
      <c r="Y100" s="402" t="e">
        <f t="shared" si="35"/>
        <v>#VALUE!</v>
      </c>
      <c r="Z100" s="402" t="e">
        <f t="shared" si="36"/>
        <v>#VALUE!</v>
      </c>
      <c r="AA100" s="402" t="e">
        <f t="shared" si="37"/>
        <v>#VALUE!</v>
      </c>
      <c r="AB100" s="669" t="e">
        <f t="shared" si="38"/>
        <v>#VALUE!</v>
      </c>
      <c r="AC100" s="403"/>
    </row>
    <row r="101" spans="2:29" s="121" customFormat="1" outlineLevel="1">
      <c r="B101" s="1167"/>
      <c r="C101" s="1168"/>
      <c r="D101" s="1750" t="s">
        <v>290</v>
      </c>
      <c r="E101" s="1751"/>
      <c r="F101" s="1751"/>
      <c r="G101" s="1752"/>
      <c r="H101" s="835"/>
      <c r="I101" s="1327" t="e">
        <f t="shared" si="0"/>
        <v>#DIV/0!</v>
      </c>
      <c r="J101" s="736" t="s">
        <v>365</v>
      </c>
      <c r="K101" s="736" t="s">
        <v>365</v>
      </c>
      <c r="L101" s="1330" t="str">
        <f t="shared" si="16"/>
        <v>Non renseigné</v>
      </c>
      <c r="M101" s="736" t="str">
        <f t="shared" si="12"/>
        <v>-</v>
      </c>
      <c r="N101" s="822" t="e">
        <f t="shared" si="13"/>
        <v>#VALUE!</v>
      </c>
      <c r="O101" s="733" t="e">
        <f t="shared" si="27"/>
        <v>#VALUE!</v>
      </c>
      <c r="P101" s="822" t="e">
        <f t="shared" si="28"/>
        <v>#VALUE!</v>
      </c>
      <c r="Q101" s="823"/>
      <c r="R101" s="942"/>
      <c r="S101" s="402" t="e">
        <f t="shared" si="29"/>
        <v>#VALUE!</v>
      </c>
      <c r="T101" s="402" t="e">
        <f t="shared" si="30"/>
        <v>#VALUE!</v>
      </c>
      <c r="U101" s="402" t="e">
        <f t="shared" si="31"/>
        <v>#VALUE!</v>
      </c>
      <c r="V101" s="402" t="e">
        <f t="shared" si="32"/>
        <v>#VALUE!</v>
      </c>
      <c r="W101" s="402" t="e">
        <f t="shared" si="33"/>
        <v>#VALUE!</v>
      </c>
      <c r="X101" s="402" t="e">
        <f t="shared" si="34"/>
        <v>#VALUE!</v>
      </c>
      <c r="Y101" s="402" t="e">
        <f t="shared" si="35"/>
        <v>#VALUE!</v>
      </c>
      <c r="Z101" s="402" t="e">
        <f t="shared" si="36"/>
        <v>#VALUE!</v>
      </c>
      <c r="AA101" s="402" t="e">
        <f t="shared" si="37"/>
        <v>#VALUE!</v>
      </c>
      <c r="AB101" s="669" t="e">
        <f t="shared" si="38"/>
        <v>#VALUE!</v>
      </c>
      <c r="AC101" s="403"/>
    </row>
    <row r="102" spans="2:29" s="121" customFormat="1" outlineLevel="1">
      <c r="B102" s="1167"/>
      <c r="C102" s="1168"/>
      <c r="D102" s="1750" t="s">
        <v>290</v>
      </c>
      <c r="E102" s="1751"/>
      <c r="F102" s="1751"/>
      <c r="G102" s="1752"/>
      <c r="H102" s="835"/>
      <c r="I102" s="1327" t="e">
        <f t="shared" si="0"/>
        <v>#DIV/0!</v>
      </c>
      <c r="J102" s="736" t="s">
        <v>365</v>
      </c>
      <c r="K102" s="736" t="s">
        <v>365</v>
      </c>
      <c r="L102" s="1330" t="str">
        <f t="shared" si="16"/>
        <v>Non renseigné</v>
      </c>
      <c r="M102" s="736" t="str">
        <f t="shared" si="12"/>
        <v>-</v>
      </c>
      <c r="N102" s="822" t="e">
        <f t="shared" si="13"/>
        <v>#VALUE!</v>
      </c>
      <c r="O102" s="733" t="e">
        <f t="shared" si="27"/>
        <v>#VALUE!</v>
      </c>
      <c r="P102" s="822" t="e">
        <f t="shared" si="28"/>
        <v>#VALUE!</v>
      </c>
      <c r="Q102" s="823"/>
      <c r="R102" s="942"/>
      <c r="S102" s="402" t="e">
        <f t="shared" si="29"/>
        <v>#VALUE!</v>
      </c>
      <c r="T102" s="402" t="e">
        <f t="shared" si="30"/>
        <v>#VALUE!</v>
      </c>
      <c r="U102" s="402" t="e">
        <f t="shared" si="31"/>
        <v>#VALUE!</v>
      </c>
      <c r="V102" s="402" t="e">
        <f t="shared" si="32"/>
        <v>#VALUE!</v>
      </c>
      <c r="W102" s="402" t="e">
        <f t="shared" si="33"/>
        <v>#VALUE!</v>
      </c>
      <c r="X102" s="402" t="e">
        <f t="shared" si="34"/>
        <v>#VALUE!</v>
      </c>
      <c r="Y102" s="402" t="e">
        <f t="shared" si="35"/>
        <v>#VALUE!</v>
      </c>
      <c r="Z102" s="402" t="e">
        <f t="shared" si="36"/>
        <v>#VALUE!</v>
      </c>
      <c r="AA102" s="402" t="e">
        <f t="shared" si="37"/>
        <v>#VALUE!</v>
      </c>
      <c r="AB102" s="669" t="e">
        <f t="shared" si="38"/>
        <v>#VALUE!</v>
      </c>
      <c r="AC102" s="403"/>
    </row>
    <row r="103" spans="2:29" s="121" customFormat="1" outlineLevel="1">
      <c r="B103" s="1167"/>
      <c r="C103" s="1168"/>
      <c r="D103" s="1750" t="s">
        <v>290</v>
      </c>
      <c r="E103" s="1751"/>
      <c r="F103" s="1751"/>
      <c r="G103" s="1752"/>
      <c r="H103" s="835"/>
      <c r="I103" s="1327" t="e">
        <f t="shared" si="0"/>
        <v>#DIV/0!</v>
      </c>
      <c r="J103" s="736" t="s">
        <v>365</v>
      </c>
      <c r="K103" s="736" t="s">
        <v>365</v>
      </c>
      <c r="L103" s="1330" t="str">
        <f t="shared" si="16"/>
        <v>Non renseigné</v>
      </c>
      <c r="M103" s="736" t="str">
        <f t="shared" si="12"/>
        <v>-</v>
      </c>
      <c r="N103" s="822" t="e">
        <f t="shared" si="13"/>
        <v>#VALUE!</v>
      </c>
      <c r="O103" s="733" t="e">
        <f t="shared" si="27"/>
        <v>#VALUE!</v>
      </c>
      <c r="P103" s="822" t="e">
        <f t="shared" si="28"/>
        <v>#VALUE!</v>
      </c>
      <c r="Q103" s="823"/>
      <c r="R103" s="942"/>
      <c r="S103" s="402" t="e">
        <f t="shared" si="29"/>
        <v>#VALUE!</v>
      </c>
      <c r="T103" s="402" t="e">
        <f t="shared" si="30"/>
        <v>#VALUE!</v>
      </c>
      <c r="U103" s="402" t="e">
        <f t="shared" si="31"/>
        <v>#VALUE!</v>
      </c>
      <c r="V103" s="402" t="e">
        <f t="shared" si="32"/>
        <v>#VALUE!</v>
      </c>
      <c r="W103" s="402" t="e">
        <f t="shared" si="33"/>
        <v>#VALUE!</v>
      </c>
      <c r="X103" s="402" t="e">
        <f t="shared" si="34"/>
        <v>#VALUE!</v>
      </c>
      <c r="Y103" s="402" t="e">
        <f t="shared" si="35"/>
        <v>#VALUE!</v>
      </c>
      <c r="Z103" s="402" t="e">
        <f t="shared" si="36"/>
        <v>#VALUE!</v>
      </c>
      <c r="AA103" s="402" t="e">
        <f t="shared" si="37"/>
        <v>#VALUE!</v>
      </c>
      <c r="AB103" s="669" t="e">
        <f t="shared" si="38"/>
        <v>#VALUE!</v>
      </c>
      <c r="AC103" s="403"/>
    </row>
    <row r="104" spans="2:29" s="121" customFormat="1" outlineLevel="1">
      <c r="B104" s="1167"/>
      <c r="C104" s="1168"/>
      <c r="D104" s="1750" t="s">
        <v>290</v>
      </c>
      <c r="E104" s="1751"/>
      <c r="F104" s="1751"/>
      <c r="G104" s="1752"/>
      <c r="H104" s="835"/>
      <c r="I104" s="1327" t="e">
        <f t="shared" si="0"/>
        <v>#DIV/0!</v>
      </c>
      <c r="J104" s="736" t="s">
        <v>365</v>
      </c>
      <c r="K104" s="736" t="s">
        <v>365</v>
      </c>
      <c r="L104" s="1330" t="str">
        <f t="shared" si="16"/>
        <v>Non renseigné</v>
      </c>
      <c r="M104" s="736" t="str">
        <f t="shared" si="12"/>
        <v>-</v>
      </c>
      <c r="N104" s="822" t="e">
        <f t="shared" si="13"/>
        <v>#VALUE!</v>
      </c>
      <c r="O104" s="733" t="e">
        <f t="shared" si="27"/>
        <v>#VALUE!</v>
      </c>
      <c r="P104" s="822" t="e">
        <f t="shared" si="28"/>
        <v>#VALUE!</v>
      </c>
      <c r="Q104" s="823"/>
      <c r="R104" s="942"/>
      <c r="S104" s="402" t="e">
        <f t="shared" si="29"/>
        <v>#VALUE!</v>
      </c>
      <c r="T104" s="402" t="e">
        <f t="shared" si="30"/>
        <v>#VALUE!</v>
      </c>
      <c r="U104" s="402" t="e">
        <f t="shared" si="31"/>
        <v>#VALUE!</v>
      </c>
      <c r="V104" s="402" t="e">
        <f t="shared" si="32"/>
        <v>#VALUE!</v>
      </c>
      <c r="W104" s="402" t="e">
        <f t="shared" si="33"/>
        <v>#VALUE!</v>
      </c>
      <c r="X104" s="402" t="e">
        <f t="shared" si="34"/>
        <v>#VALUE!</v>
      </c>
      <c r="Y104" s="402" t="e">
        <f t="shared" si="35"/>
        <v>#VALUE!</v>
      </c>
      <c r="Z104" s="402" t="e">
        <f t="shared" si="36"/>
        <v>#VALUE!</v>
      </c>
      <c r="AA104" s="402" t="e">
        <f t="shared" si="37"/>
        <v>#VALUE!</v>
      </c>
      <c r="AB104" s="669" t="e">
        <f t="shared" si="38"/>
        <v>#VALUE!</v>
      </c>
      <c r="AC104" s="403"/>
    </row>
    <row r="105" spans="2:29" s="121" customFormat="1" outlineLevel="1">
      <c r="B105" s="1167"/>
      <c r="C105" s="1168"/>
      <c r="D105" s="1750" t="s">
        <v>290</v>
      </c>
      <c r="E105" s="1751"/>
      <c r="F105" s="1751"/>
      <c r="G105" s="1752"/>
      <c r="H105" s="835"/>
      <c r="I105" s="1327" t="e">
        <f t="shared" si="0"/>
        <v>#DIV/0!</v>
      </c>
      <c r="J105" s="736" t="s">
        <v>365</v>
      </c>
      <c r="K105" s="736" t="s">
        <v>365</v>
      </c>
      <c r="L105" s="1330" t="str">
        <f t="shared" si="16"/>
        <v>Non renseigné</v>
      </c>
      <c r="M105" s="736" t="str">
        <f t="shared" si="12"/>
        <v>-</v>
      </c>
      <c r="N105" s="822" t="e">
        <f t="shared" si="13"/>
        <v>#VALUE!</v>
      </c>
      <c r="O105" s="733" t="e">
        <f t="shared" si="27"/>
        <v>#VALUE!</v>
      </c>
      <c r="P105" s="822" t="e">
        <f t="shared" si="28"/>
        <v>#VALUE!</v>
      </c>
      <c r="Q105" s="823"/>
      <c r="R105" s="942"/>
      <c r="S105" s="402" t="e">
        <f t="shared" si="29"/>
        <v>#VALUE!</v>
      </c>
      <c r="T105" s="402" t="e">
        <f t="shared" si="30"/>
        <v>#VALUE!</v>
      </c>
      <c r="U105" s="402" t="e">
        <f t="shared" si="31"/>
        <v>#VALUE!</v>
      </c>
      <c r="V105" s="402" t="e">
        <f t="shared" si="32"/>
        <v>#VALUE!</v>
      </c>
      <c r="W105" s="402" t="e">
        <f t="shared" si="33"/>
        <v>#VALUE!</v>
      </c>
      <c r="X105" s="402" t="e">
        <f t="shared" si="34"/>
        <v>#VALUE!</v>
      </c>
      <c r="Y105" s="402" t="e">
        <f t="shared" si="35"/>
        <v>#VALUE!</v>
      </c>
      <c r="Z105" s="402" t="e">
        <f t="shared" si="36"/>
        <v>#VALUE!</v>
      </c>
      <c r="AA105" s="402" t="e">
        <f t="shared" si="37"/>
        <v>#VALUE!</v>
      </c>
      <c r="AB105" s="669" t="e">
        <f t="shared" si="38"/>
        <v>#VALUE!</v>
      </c>
      <c r="AC105" s="403"/>
    </row>
    <row r="106" spans="2:29" s="121" customFormat="1" outlineLevel="1">
      <c r="B106" s="1167"/>
      <c r="C106" s="1168"/>
      <c r="D106" s="1750" t="s">
        <v>290</v>
      </c>
      <c r="E106" s="1751"/>
      <c r="F106" s="1751"/>
      <c r="G106" s="1752"/>
      <c r="H106" s="835"/>
      <c r="I106" s="1327" t="e">
        <f t="shared" si="0"/>
        <v>#DIV/0!</v>
      </c>
      <c r="J106" s="736" t="s">
        <v>365</v>
      </c>
      <c r="K106" s="736" t="s">
        <v>365</v>
      </c>
      <c r="L106" s="1330" t="str">
        <f t="shared" si="16"/>
        <v>Non renseigné</v>
      </c>
      <c r="M106" s="736" t="str">
        <f t="shared" si="12"/>
        <v>-</v>
      </c>
      <c r="N106" s="822" t="e">
        <f t="shared" si="13"/>
        <v>#VALUE!</v>
      </c>
      <c r="O106" s="733" t="e">
        <f t="shared" si="27"/>
        <v>#VALUE!</v>
      </c>
      <c r="P106" s="822" t="e">
        <f t="shared" si="28"/>
        <v>#VALUE!</v>
      </c>
      <c r="Q106" s="823"/>
      <c r="R106" s="942"/>
      <c r="S106" s="402" t="e">
        <f t="shared" si="29"/>
        <v>#VALUE!</v>
      </c>
      <c r="T106" s="402" t="e">
        <f t="shared" si="30"/>
        <v>#VALUE!</v>
      </c>
      <c r="U106" s="402" t="e">
        <f t="shared" si="31"/>
        <v>#VALUE!</v>
      </c>
      <c r="V106" s="402" t="e">
        <f t="shared" si="32"/>
        <v>#VALUE!</v>
      </c>
      <c r="W106" s="402" t="e">
        <f t="shared" si="33"/>
        <v>#VALUE!</v>
      </c>
      <c r="X106" s="402" t="e">
        <f t="shared" si="34"/>
        <v>#VALUE!</v>
      </c>
      <c r="Y106" s="402" t="e">
        <f t="shared" si="35"/>
        <v>#VALUE!</v>
      </c>
      <c r="Z106" s="402" t="e">
        <f t="shared" si="36"/>
        <v>#VALUE!</v>
      </c>
      <c r="AA106" s="402" t="e">
        <f t="shared" si="37"/>
        <v>#VALUE!</v>
      </c>
      <c r="AB106" s="669" t="e">
        <f t="shared" si="38"/>
        <v>#VALUE!</v>
      </c>
      <c r="AC106" s="403"/>
    </row>
    <row r="107" spans="2:29" s="121" customFormat="1" outlineLevel="1">
      <c r="B107" s="1167"/>
      <c r="C107" s="1168"/>
      <c r="D107" s="1750" t="s">
        <v>290</v>
      </c>
      <c r="E107" s="1751"/>
      <c r="F107" s="1751"/>
      <c r="G107" s="1752"/>
      <c r="H107" s="835"/>
      <c r="I107" s="1327" t="e">
        <f t="shared" si="0"/>
        <v>#DIV/0!</v>
      </c>
      <c r="J107" s="736" t="s">
        <v>365</v>
      </c>
      <c r="K107" s="736" t="s">
        <v>365</v>
      </c>
      <c r="L107" s="1330" t="str">
        <f t="shared" si="16"/>
        <v>Non renseigné</v>
      </c>
      <c r="M107" s="736" t="str">
        <f t="shared" si="12"/>
        <v>-</v>
      </c>
      <c r="N107" s="822" t="e">
        <f t="shared" si="13"/>
        <v>#VALUE!</v>
      </c>
      <c r="O107" s="733" t="e">
        <f t="shared" si="27"/>
        <v>#VALUE!</v>
      </c>
      <c r="P107" s="822" t="e">
        <f t="shared" si="28"/>
        <v>#VALUE!</v>
      </c>
      <c r="Q107" s="823"/>
      <c r="R107" s="942"/>
      <c r="S107" s="402" t="e">
        <f t="shared" si="29"/>
        <v>#VALUE!</v>
      </c>
      <c r="T107" s="402" t="e">
        <f t="shared" si="30"/>
        <v>#VALUE!</v>
      </c>
      <c r="U107" s="402" t="e">
        <f t="shared" si="31"/>
        <v>#VALUE!</v>
      </c>
      <c r="V107" s="402" t="e">
        <f t="shared" si="32"/>
        <v>#VALUE!</v>
      </c>
      <c r="W107" s="402" t="e">
        <f t="shared" si="33"/>
        <v>#VALUE!</v>
      </c>
      <c r="X107" s="402" t="e">
        <f t="shared" si="34"/>
        <v>#VALUE!</v>
      </c>
      <c r="Y107" s="402" t="e">
        <f t="shared" si="35"/>
        <v>#VALUE!</v>
      </c>
      <c r="Z107" s="402" t="e">
        <f t="shared" si="36"/>
        <v>#VALUE!</v>
      </c>
      <c r="AA107" s="402" t="e">
        <f t="shared" si="37"/>
        <v>#VALUE!</v>
      </c>
      <c r="AB107" s="669" t="e">
        <f t="shared" si="38"/>
        <v>#VALUE!</v>
      </c>
      <c r="AC107" s="403"/>
    </row>
    <row r="108" spans="2:29" s="121" customFormat="1" outlineLevel="1">
      <c r="B108" s="1167"/>
      <c r="C108" s="1168"/>
      <c r="D108" s="1750" t="s">
        <v>290</v>
      </c>
      <c r="E108" s="1751"/>
      <c r="F108" s="1751"/>
      <c r="G108" s="1752"/>
      <c r="H108" s="835"/>
      <c r="I108" s="1327" t="e">
        <f t="shared" si="0"/>
        <v>#DIV/0!</v>
      </c>
      <c r="J108" s="736" t="s">
        <v>365</v>
      </c>
      <c r="K108" s="736" t="s">
        <v>365</v>
      </c>
      <c r="L108" s="1330" t="str">
        <f t="shared" si="16"/>
        <v>Non renseigné</v>
      </c>
      <c r="M108" s="736" t="str">
        <f t="shared" si="12"/>
        <v>-</v>
      </c>
      <c r="N108" s="822" t="e">
        <f t="shared" si="13"/>
        <v>#VALUE!</v>
      </c>
      <c r="O108" s="733" t="e">
        <f t="shared" si="27"/>
        <v>#VALUE!</v>
      </c>
      <c r="P108" s="822" t="e">
        <f t="shared" si="28"/>
        <v>#VALUE!</v>
      </c>
      <c r="Q108" s="823"/>
      <c r="R108" s="942"/>
      <c r="S108" s="402" t="e">
        <f t="shared" si="29"/>
        <v>#VALUE!</v>
      </c>
      <c r="T108" s="402" t="e">
        <f t="shared" si="30"/>
        <v>#VALUE!</v>
      </c>
      <c r="U108" s="402" t="e">
        <f t="shared" si="31"/>
        <v>#VALUE!</v>
      </c>
      <c r="V108" s="402" t="e">
        <f t="shared" si="32"/>
        <v>#VALUE!</v>
      </c>
      <c r="W108" s="402" t="e">
        <f t="shared" si="33"/>
        <v>#VALUE!</v>
      </c>
      <c r="X108" s="402" t="e">
        <f t="shared" si="34"/>
        <v>#VALUE!</v>
      </c>
      <c r="Y108" s="402" t="e">
        <f t="shared" si="35"/>
        <v>#VALUE!</v>
      </c>
      <c r="Z108" s="402" t="e">
        <f t="shared" si="36"/>
        <v>#VALUE!</v>
      </c>
      <c r="AA108" s="402" t="e">
        <f t="shared" si="37"/>
        <v>#VALUE!</v>
      </c>
      <c r="AB108" s="669" t="e">
        <f t="shared" si="38"/>
        <v>#VALUE!</v>
      </c>
      <c r="AC108" s="403"/>
    </row>
    <row r="109" spans="2:29" outlineLevel="1">
      <c r="B109" s="1167"/>
      <c r="C109" s="1168"/>
      <c r="D109" s="1750" t="s">
        <v>290</v>
      </c>
      <c r="E109" s="1751"/>
      <c r="F109" s="1751"/>
      <c r="G109" s="1752"/>
      <c r="H109" s="835"/>
      <c r="I109" s="1327" t="e">
        <f t="shared" si="0"/>
        <v>#DIV/0!</v>
      </c>
      <c r="J109" s="736" t="s">
        <v>365</v>
      </c>
      <c r="K109" s="736" t="s">
        <v>365</v>
      </c>
      <c r="L109" s="1330" t="str">
        <f t="shared" si="16"/>
        <v>Non renseigné</v>
      </c>
      <c r="M109" s="736" t="str">
        <f t="shared" si="12"/>
        <v>-</v>
      </c>
      <c r="N109" s="822" t="e">
        <f t="shared" si="13"/>
        <v>#VALUE!</v>
      </c>
      <c r="O109" s="733" t="e">
        <f t="shared" si="27"/>
        <v>#VALUE!</v>
      </c>
      <c r="P109" s="822" t="e">
        <f t="shared" si="28"/>
        <v>#VALUE!</v>
      </c>
      <c r="Q109" s="823"/>
      <c r="R109" s="942"/>
      <c r="S109" s="402" t="e">
        <f t="shared" si="29"/>
        <v>#VALUE!</v>
      </c>
      <c r="T109" s="402" t="e">
        <f t="shared" si="30"/>
        <v>#VALUE!</v>
      </c>
      <c r="U109" s="402" t="e">
        <f t="shared" si="31"/>
        <v>#VALUE!</v>
      </c>
      <c r="V109" s="402" t="e">
        <f t="shared" si="32"/>
        <v>#VALUE!</v>
      </c>
      <c r="W109" s="402" t="e">
        <f t="shared" si="33"/>
        <v>#VALUE!</v>
      </c>
      <c r="X109" s="402" t="e">
        <f t="shared" si="34"/>
        <v>#VALUE!</v>
      </c>
      <c r="Y109" s="402" t="e">
        <f t="shared" si="35"/>
        <v>#VALUE!</v>
      </c>
      <c r="Z109" s="402" t="e">
        <f t="shared" si="36"/>
        <v>#VALUE!</v>
      </c>
      <c r="AA109" s="402" t="e">
        <f t="shared" si="37"/>
        <v>#VALUE!</v>
      </c>
      <c r="AB109" s="669" t="e">
        <f t="shared" si="38"/>
        <v>#VALUE!</v>
      </c>
    </row>
    <row r="110" spans="2:29" s="121" customFormat="1" outlineLevel="1">
      <c r="B110" s="1167"/>
      <c r="C110" s="1168"/>
      <c r="D110" s="1750" t="s">
        <v>290</v>
      </c>
      <c r="E110" s="1751"/>
      <c r="F110" s="1751"/>
      <c r="G110" s="1752"/>
      <c r="H110" s="835"/>
      <c r="I110" s="1327" t="e">
        <f t="shared" si="0"/>
        <v>#DIV/0!</v>
      </c>
      <c r="J110" s="736" t="s">
        <v>365</v>
      </c>
      <c r="K110" s="736" t="s">
        <v>365</v>
      </c>
      <c r="L110" s="1330" t="str">
        <f t="shared" si="16"/>
        <v>Non renseigné</v>
      </c>
      <c r="M110" s="736" t="str">
        <f t="shared" si="12"/>
        <v>-</v>
      </c>
      <c r="N110" s="822" t="e">
        <f t="shared" si="13"/>
        <v>#VALUE!</v>
      </c>
      <c r="O110" s="733" t="e">
        <f t="shared" si="27"/>
        <v>#VALUE!</v>
      </c>
      <c r="P110" s="822" t="e">
        <f t="shared" si="28"/>
        <v>#VALUE!</v>
      </c>
      <c r="Q110" s="823"/>
      <c r="R110" s="942"/>
      <c r="S110" s="402" t="e">
        <f t="shared" si="29"/>
        <v>#VALUE!</v>
      </c>
      <c r="T110" s="402" t="e">
        <f t="shared" si="30"/>
        <v>#VALUE!</v>
      </c>
      <c r="U110" s="402" t="e">
        <f t="shared" si="31"/>
        <v>#VALUE!</v>
      </c>
      <c r="V110" s="402" t="e">
        <f t="shared" si="32"/>
        <v>#VALUE!</v>
      </c>
      <c r="W110" s="402" t="e">
        <f t="shared" si="33"/>
        <v>#VALUE!</v>
      </c>
      <c r="X110" s="402" t="e">
        <f t="shared" si="34"/>
        <v>#VALUE!</v>
      </c>
      <c r="Y110" s="402" t="e">
        <f t="shared" si="35"/>
        <v>#VALUE!</v>
      </c>
      <c r="Z110" s="402" t="e">
        <f t="shared" si="36"/>
        <v>#VALUE!</v>
      </c>
      <c r="AA110" s="402" t="e">
        <f t="shared" si="37"/>
        <v>#VALUE!</v>
      </c>
      <c r="AB110" s="669" t="e">
        <f t="shared" si="38"/>
        <v>#VALUE!</v>
      </c>
      <c r="AC110" s="403"/>
    </row>
    <row r="111" spans="2:29" s="121" customFormat="1" outlineLevel="1">
      <c r="B111" s="1167"/>
      <c r="C111" s="1168"/>
      <c r="D111" s="1750" t="s">
        <v>290</v>
      </c>
      <c r="E111" s="1751"/>
      <c r="F111" s="1751"/>
      <c r="G111" s="1752"/>
      <c r="H111" s="835"/>
      <c r="I111" s="1327" t="e">
        <f t="shared" si="0"/>
        <v>#DIV/0!</v>
      </c>
      <c r="J111" s="736" t="s">
        <v>365</v>
      </c>
      <c r="K111" s="736" t="s">
        <v>365</v>
      </c>
      <c r="L111" s="1330" t="str">
        <f t="shared" si="16"/>
        <v>Non renseigné</v>
      </c>
      <c r="M111" s="736" t="str">
        <f t="shared" si="12"/>
        <v>-</v>
      </c>
      <c r="N111" s="822" t="e">
        <f t="shared" si="13"/>
        <v>#VALUE!</v>
      </c>
      <c r="O111" s="733" t="e">
        <f t="shared" si="27"/>
        <v>#VALUE!</v>
      </c>
      <c r="P111" s="822" t="e">
        <f t="shared" si="28"/>
        <v>#VALUE!</v>
      </c>
      <c r="Q111" s="823"/>
      <c r="R111" s="942"/>
      <c r="S111" s="402" t="e">
        <f t="shared" si="29"/>
        <v>#VALUE!</v>
      </c>
      <c r="T111" s="402" t="e">
        <f t="shared" si="30"/>
        <v>#VALUE!</v>
      </c>
      <c r="U111" s="402" t="e">
        <f t="shared" si="31"/>
        <v>#VALUE!</v>
      </c>
      <c r="V111" s="402" t="e">
        <f t="shared" si="32"/>
        <v>#VALUE!</v>
      </c>
      <c r="W111" s="402" t="e">
        <f t="shared" si="33"/>
        <v>#VALUE!</v>
      </c>
      <c r="X111" s="402" t="e">
        <f t="shared" si="34"/>
        <v>#VALUE!</v>
      </c>
      <c r="Y111" s="402" t="e">
        <f t="shared" si="35"/>
        <v>#VALUE!</v>
      </c>
      <c r="Z111" s="402" t="e">
        <f t="shared" si="36"/>
        <v>#VALUE!</v>
      </c>
      <c r="AA111" s="402" t="e">
        <f t="shared" si="37"/>
        <v>#VALUE!</v>
      </c>
      <c r="AB111" s="669" t="e">
        <f t="shared" si="38"/>
        <v>#VALUE!</v>
      </c>
      <c r="AC111" s="403"/>
    </row>
    <row r="112" spans="2:29" s="121" customFormat="1" outlineLevel="1">
      <c r="B112" s="1167"/>
      <c r="C112" s="1168"/>
      <c r="D112" s="1750" t="s">
        <v>290</v>
      </c>
      <c r="E112" s="1751"/>
      <c r="F112" s="1751"/>
      <c r="G112" s="1752"/>
      <c r="H112" s="835"/>
      <c r="I112" s="1327" t="e">
        <f t="shared" si="0"/>
        <v>#DIV/0!</v>
      </c>
      <c r="J112" s="736" t="s">
        <v>365</v>
      </c>
      <c r="K112" s="736" t="s">
        <v>365</v>
      </c>
      <c r="L112" s="1330" t="str">
        <f t="shared" si="16"/>
        <v>Non renseigné</v>
      </c>
      <c r="M112" s="736" t="str">
        <f t="shared" si="12"/>
        <v>-</v>
      </c>
      <c r="N112" s="822" t="e">
        <f t="shared" si="13"/>
        <v>#VALUE!</v>
      </c>
      <c r="O112" s="733" t="e">
        <f t="shared" si="27"/>
        <v>#VALUE!</v>
      </c>
      <c r="P112" s="822" t="e">
        <f t="shared" si="28"/>
        <v>#VALUE!</v>
      </c>
      <c r="Q112" s="823"/>
      <c r="R112" s="942"/>
      <c r="S112" s="402" t="e">
        <f t="shared" si="29"/>
        <v>#VALUE!</v>
      </c>
      <c r="T112" s="402" t="e">
        <f t="shared" si="30"/>
        <v>#VALUE!</v>
      </c>
      <c r="U112" s="402" t="e">
        <f t="shared" si="31"/>
        <v>#VALUE!</v>
      </c>
      <c r="V112" s="402" t="e">
        <f t="shared" si="32"/>
        <v>#VALUE!</v>
      </c>
      <c r="W112" s="402" t="e">
        <f t="shared" si="33"/>
        <v>#VALUE!</v>
      </c>
      <c r="X112" s="402" t="e">
        <f t="shared" si="34"/>
        <v>#VALUE!</v>
      </c>
      <c r="Y112" s="402" t="e">
        <f t="shared" si="35"/>
        <v>#VALUE!</v>
      </c>
      <c r="Z112" s="402" t="e">
        <f t="shared" si="36"/>
        <v>#VALUE!</v>
      </c>
      <c r="AA112" s="402" t="e">
        <f t="shared" si="37"/>
        <v>#VALUE!</v>
      </c>
      <c r="AB112" s="669" t="e">
        <f t="shared" si="38"/>
        <v>#VALUE!</v>
      </c>
      <c r="AC112" s="403"/>
    </row>
    <row r="113" spans="2:29" s="121" customFormat="1" outlineLevel="1">
      <c r="B113" s="1167"/>
      <c r="C113" s="1168"/>
      <c r="D113" s="1750" t="s">
        <v>290</v>
      </c>
      <c r="E113" s="1751"/>
      <c r="F113" s="1751"/>
      <c r="G113" s="1752"/>
      <c r="H113" s="835"/>
      <c r="I113" s="1327" t="e">
        <f t="shared" si="0"/>
        <v>#DIV/0!</v>
      </c>
      <c r="J113" s="736" t="s">
        <v>365</v>
      </c>
      <c r="K113" s="736" t="s">
        <v>365</v>
      </c>
      <c r="L113" s="1330" t="str">
        <f t="shared" si="16"/>
        <v>Non renseigné</v>
      </c>
      <c r="M113" s="736" t="str">
        <f t="shared" si="12"/>
        <v>-</v>
      </c>
      <c r="N113" s="822" t="e">
        <f t="shared" si="13"/>
        <v>#VALUE!</v>
      </c>
      <c r="O113" s="733" t="e">
        <f t="shared" si="27"/>
        <v>#VALUE!</v>
      </c>
      <c r="P113" s="822" t="e">
        <f t="shared" si="28"/>
        <v>#VALUE!</v>
      </c>
      <c r="Q113" s="823"/>
      <c r="R113" s="942"/>
      <c r="S113" s="402" t="e">
        <f t="shared" si="29"/>
        <v>#VALUE!</v>
      </c>
      <c r="T113" s="402" t="e">
        <f t="shared" si="30"/>
        <v>#VALUE!</v>
      </c>
      <c r="U113" s="402" t="e">
        <f t="shared" si="31"/>
        <v>#VALUE!</v>
      </c>
      <c r="V113" s="402" t="e">
        <f t="shared" si="32"/>
        <v>#VALUE!</v>
      </c>
      <c r="W113" s="402" t="e">
        <f t="shared" si="33"/>
        <v>#VALUE!</v>
      </c>
      <c r="X113" s="402" t="e">
        <f t="shared" si="34"/>
        <v>#VALUE!</v>
      </c>
      <c r="Y113" s="402" t="e">
        <f t="shared" si="35"/>
        <v>#VALUE!</v>
      </c>
      <c r="Z113" s="402" t="e">
        <f t="shared" si="36"/>
        <v>#VALUE!</v>
      </c>
      <c r="AA113" s="402" t="e">
        <f t="shared" si="37"/>
        <v>#VALUE!</v>
      </c>
      <c r="AB113" s="669" t="e">
        <f t="shared" si="38"/>
        <v>#VALUE!</v>
      </c>
      <c r="AC113" s="403"/>
    </row>
    <row r="114" spans="2:29" s="121" customFormat="1" outlineLevel="1">
      <c r="B114" s="1167"/>
      <c r="C114" s="1168"/>
      <c r="D114" s="1750" t="s">
        <v>290</v>
      </c>
      <c r="E114" s="1751"/>
      <c r="F114" s="1751"/>
      <c r="G114" s="1752"/>
      <c r="H114" s="835"/>
      <c r="I114" s="1327" t="e">
        <f t="shared" si="0"/>
        <v>#DIV/0!</v>
      </c>
      <c r="J114" s="736" t="s">
        <v>365</v>
      </c>
      <c r="K114" s="736" t="s">
        <v>365</v>
      </c>
      <c r="L114" s="1330" t="str">
        <f t="shared" si="16"/>
        <v>Non renseigné</v>
      </c>
      <c r="M114" s="736" t="str">
        <f t="shared" si="12"/>
        <v>-</v>
      </c>
      <c r="N114" s="822" t="e">
        <f t="shared" si="13"/>
        <v>#VALUE!</v>
      </c>
      <c r="O114" s="733" t="e">
        <f t="shared" si="27"/>
        <v>#VALUE!</v>
      </c>
      <c r="P114" s="822" t="e">
        <f t="shared" si="28"/>
        <v>#VALUE!</v>
      </c>
      <c r="Q114" s="823"/>
      <c r="R114" s="942"/>
      <c r="S114" s="402" t="e">
        <f t="shared" si="29"/>
        <v>#VALUE!</v>
      </c>
      <c r="T114" s="402" t="e">
        <f t="shared" si="30"/>
        <v>#VALUE!</v>
      </c>
      <c r="U114" s="402" t="e">
        <f t="shared" si="31"/>
        <v>#VALUE!</v>
      </c>
      <c r="V114" s="402" t="e">
        <f t="shared" si="32"/>
        <v>#VALUE!</v>
      </c>
      <c r="W114" s="402" t="e">
        <f t="shared" si="33"/>
        <v>#VALUE!</v>
      </c>
      <c r="X114" s="402" t="e">
        <f t="shared" si="34"/>
        <v>#VALUE!</v>
      </c>
      <c r="Y114" s="402" t="e">
        <f t="shared" si="35"/>
        <v>#VALUE!</v>
      </c>
      <c r="Z114" s="402" t="e">
        <f t="shared" si="36"/>
        <v>#VALUE!</v>
      </c>
      <c r="AA114" s="402" t="e">
        <f t="shared" si="37"/>
        <v>#VALUE!</v>
      </c>
      <c r="AB114" s="669" t="e">
        <f t="shared" si="38"/>
        <v>#VALUE!</v>
      </c>
      <c r="AC114" s="403"/>
    </row>
    <row r="115" spans="2:29" s="121" customFormat="1" outlineLevel="1">
      <c r="B115" s="1167"/>
      <c r="C115" s="1168"/>
      <c r="D115" s="1750" t="s">
        <v>290</v>
      </c>
      <c r="E115" s="1751"/>
      <c r="F115" s="1751"/>
      <c r="G115" s="1752"/>
      <c r="H115" s="835"/>
      <c r="I115" s="1327" t="e">
        <f t="shared" si="0"/>
        <v>#DIV/0!</v>
      </c>
      <c r="J115" s="736" t="s">
        <v>365</v>
      </c>
      <c r="K115" s="736" t="s">
        <v>365</v>
      </c>
      <c r="L115" s="1330" t="str">
        <f t="shared" si="16"/>
        <v>Non renseigné</v>
      </c>
      <c r="M115" s="736" t="str">
        <f t="shared" si="12"/>
        <v>-</v>
      </c>
      <c r="N115" s="822" t="e">
        <f t="shared" si="13"/>
        <v>#VALUE!</v>
      </c>
      <c r="O115" s="733" t="e">
        <f t="shared" si="27"/>
        <v>#VALUE!</v>
      </c>
      <c r="P115" s="822" t="e">
        <f t="shared" si="28"/>
        <v>#VALUE!</v>
      </c>
      <c r="Q115" s="823"/>
      <c r="R115" s="942"/>
      <c r="S115" s="402" t="e">
        <f t="shared" si="29"/>
        <v>#VALUE!</v>
      </c>
      <c r="T115" s="402" t="e">
        <f t="shared" si="30"/>
        <v>#VALUE!</v>
      </c>
      <c r="U115" s="402" t="e">
        <f t="shared" si="31"/>
        <v>#VALUE!</v>
      </c>
      <c r="V115" s="402" t="e">
        <f t="shared" si="32"/>
        <v>#VALUE!</v>
      </c>
      <c r="W115" s="402" t="e">
        <f t="shared" si="33"/>
        <v>#VALUE!</v>
      </c>
      <c r="X115" s="402" t="e">
        <f t="shared" si="34"/>
        <v>#VALUE!</v>
      </c>
      <c r="Y115" s="402" t="e">
        <f t="shared" si="35"/>
        <v>#VALUE!</v>
      </c>
      <c r="Z115" s="402" t="e">
        <f t="shared" si="36"/>
        <v>#VALUE!</v>
      </c>
      <c r="AA115" s="402" t="e">
        <f t="shared" si="37"/>
        <v>#VALUE!</v>
      </c>
      <c r="AB115" s="669" t="e">
        <f t="shared" si="38"/>
        <v>#VALUE!</v>
      </c>
      <c r="AC115" s="403"/>
    </row>
    <row r="116" spans="2:29" s="121" customFormat="1" outlineLevel="1">
      <c r="B116" s="1167"/>
      <c r="C116" s="1168"/>
      <c r="D116" s="1750" t="s">
        <v>290</v>
      </c>
      <c r="E116" s="1751"/>
      <c r="F116" s="1751"/>
      <c r="G116" s="1752"/>
      <c r="H116" s="835"/>
      <c r="I116" s="1327" t="e">
        <f t="shared" si="0"/>
        <v>#DIV/0!</v>
      </c>
      <c r="J116" s="736" t="s">
        <v>365</v>
      </c>
      <c r="K116" s="736" t="s">
        <v>365</v>
      </c>
      <c r="L116" s="1330" t="str">
        <f t="shared" si="16"/>
        <v>Non renseigné</v>
      </c>
      <c r="M116" s="736" t="str">
        <f t="shared" si="12"/>
        <v>-</v>
      </c>
      <c r="N116" s="822" t="e">
        <f t="shared" si="13"/>
        <v>#VALUE!</v>
      </c>
      <c r="O116" s="733" t="e">
        <f t="shared" si="27"/>
        <v>#VALUE!</v>
      </c>
      <c r="P116" s="822" t="e">
        <f t="shared" si="28"/>
        <v>#VALUE!</v>
      </c>
      <c r="Q116" s="823"/>
      <c r="R116" s="942"/>
      <c r="S116" s="402" t="e">
        <f t="shared" si="29"/>
        <v>#VALUE!</v>
      </c>
      <c r="T116" s="402" t="e">
        <f t="shared" si="30"/>
        <v>#VALUE!</v>
      </c>
      <c r="U116" s="402" t="e">
        <f t="shared" si="31"/>
        <v>#VALUE!</v>
      </c>
      <c r="V116" s="402" t="e">
        <f t="shared" si="32"/>
        <v>#VALUE!</v>
      </c>
      <c r="W116" s="402" t="e">
        <f t="shared" si="33"/>
        <v>#VALUE!</v>
      </c>
      <c r="X116" s="402" t="e">
        <f t="shared" si="34"/>
        <v>#VALUE!</v>
      </c>
      <c r="Y116" s="402" t="e">
        <f t="shared" si="35"/>
        <v>#VALUE!</v>
      </c>
      <c r="Z116" s="402" t="e">
        <f t="shared" si="36"/>
        <v>#VALUE!</v>
      </c>
      <c r="AA116" s="402" t="e">
        <f t="shared" si="37"/>
        <v>#VALUE!</v>
      </c>
      <c r="AB116" s="669" t="e">
        <f t="shared" si="38"/>
        <v>#VALUE!</v>
      </c>
      <c r="AC116" s="403"/>
    </row>
    <row r="117" spans="2:29" s="121" customFormat="1" outlineLevel="1">
      <c r="B117" s="1167"/>
      <c r="C117" s="1168"/>
      <c r="D117" s="1750" t="s">
        <v>290</v>
      </c>
      <c r="E117" s="1751"/>
      <c r="F117" s="1751"/>
      <c r="G117" s="1752"/>
      <c r="H117" s="835"/>
      <c r="I117" s="1327" t="e">
        <f t="shared" si="0"/>
        <v>#DIV/0!</v>
      </c>
      <c r="J117" s="736" t="s">
        <v>365</v>
      </c>
      <c r="K117" s="736" t="s">
        <v>365</v>
      </c>
      <c r="L117" s="1330" t="str">
        <f t="shared" si="16"/>
        <v>Non renseigné</v>
      </c>
      <c r="M117" s="736" t="str">
        <f t="shared" si="12"/>
        <v>-</v>
      </c>
      <c r="N117" s="822" t="e">
        <f t="shared" si="13"/>
        <v>#VALUE!</v>
      </c>
      <c r="O117" s="733" t="e">
        <f t="shared" si="27"/>
        <v>#VALUE!</v>
      </c>
      <c r="P117" s="822" t="e">
        <f t="shared" si="28"/>
        <v>#VALUE!</v>
      </c>
      <c r="Q117" s="823"/>
      <c r="R117" s="942"/>
      <c r="S117" s="402" t="e">
        <f t="shared" si="29"/>
        <v>#VALUE!</v>
      </c>
      <c r="T117" s="402" t="e">
        <f t="shared" si="30"/>
        <v>#VALUE!</v>
      </c>
      <c r="U117" s="402" t="e">
        <f t="shared" si="31"/>
        <v>#VALUE!</v>
      </c>
      <c r="V117" s="402" t="e">
        <f t="shared" si="32"/>
        <v>#VALUE!</v>
      </c>
      <c r="W117" s="402" t="e">
        <f t="shared" si="33"/>
        <v>#VALUE!</v>
      </c>
      <c r="X117" s="402" t="e">
        <f t="shared" si="34"/>
        <v>#VALUE!</v>
      </c>
      <c r="Y117" s="402" t="e">
        <f t="shared" si="35"/>
        <v>#VALUE!</v>
      </c>
      <c r="Z117" s="402" t="e">
        <f t="shared" si="36"/>
        <v>#VALUE!</v>
      </c>
      <c r="AA117" s="402" t="e">
        <f t="shared" si="37"/>
        <v>#VALUE!</v>
      </c>
      <c r="AB117" s="669" t="e">
        <f t="shared" si="38"/>
        <v>#VALUE!</v>
      </c>
      <c r="AC117" s="403"/>
    </row>
    <row r="118" spans="2:29" s="121" customFormat="1" outlineLevel="1">
      <c r="B118" s="1167"/>
      <c r="C118" s="1168"/>
      <c r="D118" s="1750" t="s">
        <v>290</v>
      </c>
      <c r="E118" s="1751"/>
      <c r="F118" s="1751"/>
      <c r="G118" s="1752"/>
      <c r="H118" s="835"/>
      <c r="I118" s="1327" t="e">
        <f t="shared" si="0"/>
        <v>#DIV/0!</v>
      </c>
      <c r="J118" s="736" t="s">
        <v>365</v>
      </c>
      <c r="K118" s="736" t="s">
        <v>365</v>
      </c>
      <c r="L118" s="1330" t="str">
        <f t="shared" si="16"/>
        <v>Non renseigné</v>
      </c>
      <c r="M118" s="736" t="str">
        <f t="shared" si="12"/>
        <v>-</v>
      </c>
      <c r="N118" s="822" t="e">
        <f t="shared" si="13"/>
        <v>#VALUE!</v>
      </c>
      <c r="O118" s="733" t="e">
        <f t="shared" si="27"/>
        <v>#VALUE!</v>
      </c>
      <c r="P118" s="822" t="e">
        <f t="shared" si="28"/>
        <v>#VALUE!</v>
      </c>
      <c r="Q118" s="823"/>
      <c r="R118" s="942"/>
      <c r="S118" s="402" t="e">
        <f t="shared" si="29"/>
        <v>#VALUE!</v>
      </c>
      <c r="T118" s="402" t="e">
        <f t="shared" si="30"/>
        <v>#VALUE!</v>
      </c>
      <c r="U118" s="402" t="e">
        <f t="shared" si="31"/>
        <v>#VALUE!</v>
      </c>
      <c r="V118" s="402" t="e">
        <f t="shared" si="32"/>
        <v>#VALUE!</v>
      </c>
      <c r="W118" s="402" t="e">
        <f t="shared" si="33"/>
        <v>#VALUE!</v>
      </c>
      <c r="X118" s="402" t="e">
        <f t="shared" si="34"/>
        <v>#VALUE!</v>
      </c>
      <c r="Y118" s="402" t="e">
        <f t="shared" si="35"/>
        <v>#VALUE!</v>
      </c>
      <c r="Z118" s="402" t="e">
        <f t="shared" si="36"/>
        <v>#VALUE!</v>
      </c>
      <c r="AA118" s="402" t="e">
        <f t="shared" si="37"/>
        <v>#VALUE!</v>
      </c>
      <c r="AB118" s="669" t="e">
        <f t="shared" si="38"/>
        <v>#VALUE!</v>
      </c>
      <c r="AC118" s="403"/>
    </row>
    <row r="119" spans="2:29" outlineLevel="1">
      <c r="B119" s="1167"/>
      <c r="C119" s="1168"/>
      <c r="D119" s="1750" t="s">
        <v>290</v>
      </c>
      <c r="E119" s="1751"/>
      <c r="F119" s="1751"/>
      <c r="G119" s="1752"/>
      <c r="H119" s="835"/>
      <c r="I119" s="1327" t="e">
        <f t="shared" si="0"/>
        <v>#DIV/0!</v>
      </c>
      <c r="J119" s="736" t="s">
        <v>365</v>
      </c>
      <c r="K119" s="736" t="s">
        <v>365</v>
      </c>
      <c r="L119" s="1330" t="str">
        <f t="shared" si="16"/>
        <v>Non renseigné</v>
      </c>
      <c r="M119" s="736" t="str">
        <f t="shared" si="12"/>
        <v>-</v>
      </c>
      <c r="N119" s="822" t="e">
        <f t="shared" si="13"/>
        <v>#VALUE!</v>
      </c>
      <c r="O119" s="733" t="e">
        <f t="shared" si="27"/>
        <v>#VALUE!</v>
      </c>
      <c r="P119" s="822" t="e">
        <f t="shared" si="28"/>
        <v>#VALUE!</v>
      </c>
      <c r="Q119" s="823"/>
      <c r="R119" s="942"/>
      <c r="S119" s="402" t="e">
        <f t="shared" si="29"/>
        <v>#VALUE!</v>
      </c>
      <c r="T119" s="402" t="e">
        <f t="shared" si="30"/>
        <v>#VALUE!</v>
      </c>
      <c r="U119" s="402" t="e">
        <f t="shared" si="31"/>
        <v>#VALUE!</v>
      </c>
      <c r="V119" s="402" t="e">
        <f t="shared" si="32"/>
        <v>#VALUE!</v>
      </c>
      <c r="W119" s="402" t="e">
        <f t="shared" si="33"/>
        <v>#VALUE!</v>
      </c>
      <c r="X119" s="402" t="e">
        <f t="shared" si="34"/>
        <v>#VALUE!</v>
      </c>
      <c r="Y119" s="402" t="e">
        <f t="shared" si="35"/>
        <v>#VALUE!</v>
      </c>
      <c r="Z119" s="402" t="e">
        <f t="shared" si="36"/>
        <v>#VALUE!</v>
      </c>
      <c r="AA119" s="402" t="e">
        <f t="shared" si="37"/>
        <v>#VALUE!</v>
      </c>
      <c r="AB119" s="669" t="e">
        <f t="shared" si="38"/>
        <v>#VALUE!</v>
      </c>
    </row>
    <row r="120" spans="2:29" s="121" customFormat="1" outlineLevel="1">
      <c r="B120" s="1167"/>
      <c r="C120" s="1168"/>
      <c r="D120" s="1750" t="s">
        <v>290</v>
      </c>
      <c r="E120" s="1751"/>
      <c r="F120" s="1751"/>
      <c r="G120" s="1752"/>
      <c r="H120" s="835"/>
      <c r="I120" s="1327" t="e">
        <f t="shared" si="0"/>
        <v>#DIV/0!</v>
      </c>
      <c r="J120" s="736" t="s">
        <v>365</v>
      </c>
      <c r="K120" s="736" t="s">
        <v>365</v>
      </c>
      <c r="L120" s="1330" t="str">
        <f t="shared" si="16"/>
        <v>Non renseigné</v>
      </c>
      <c r="M120" s="736" t="str">
        <f t="shared" si="12"/>
        <v>-</v>
      </c>
      <c r="N120" s="822" t="e">
        <f t="shared" si="13"/>
        <v>#VALUE!</v>
      </c>
      <c r="O120" s="733" t="e">
        <f t="shared" si="27"/>
        <v>#VALUE!</v>
      </c>
      <c r="P120" s="822" t="e">
        <f t="shared" si="28"/>
        <v>#VALUE!</v>
      </c>
      <c r="Q120" s="823"/>
      <c r="R120" s="942"/>
      <c r="S120" s="402" t="e">
        <f t="shared" si="29"/>
        <v>#VALUE!</v>
      </c>
      <c r="T120" s="402" t="e">
        <f t="shared" si="30"/>
        <v>#VALUE!</v>
      </c>
      <c r="U120" s="402" t="e">
        <f t="shared" si="31"/>
        <v>#VALUE!</v>
      </c>
      <c r="V120" s="402" t="e">
        <f t="shared" si="32"/>
        <v>#VALUE!</v>
      </c>
      <c r="W120" s="402" t="e">
        <f t="shared" si="33"/>
        <v>#VALUE!</v>
      </c>
      <c r="X120" s="402" t="e">
        <f t="shared" si="34"/>
        <v>#VALUE!</v>
      </c>
      <c r="Y120" s="402" t="e">
        <f t="shared" si="35"/>
        <v>#VALUE!</v>
      </c>
      <c r="Z120" s="402" t="e">
        <f t="shared" si="36"/>
        <v>#VALUE!</v>
      </c>
      <c r="AA120" s="402" t="e">
        <f t="shared" si="37"/>
        <v>#VALUE!</v>
      </c>
      <c r="AB120" s="669" t="e">
        <f t="shared" si="38"/>
        <v>#VALUE!</v>
      </c>
      <c r="AC120" s="403"/>
    </row>
    <row r="121" spans="2:29" s="121" customFormat="1" outlineLevel="1">
      <c r="B121" s="1167"/>
      <c r="C121" s="1168"/>
      <c r="D121" s="1750" t="s">
        <v>290</v>
      </c>
      <c r="E121" s="1751"/>
      <c r="F121" s="1751"/>
      <c r="G121" s="1752"/>
      <c r="H121" s="835"/>
      <c r="I121" s="1327" t="e">
        <f t="shared" si="0"/>
        <v>#DIV/0!</v>
      </c>
      <c r="J121" s="736" t="s">
        <v>365</v>
      </c>
      <c r="K121" s="736" t="s">
        <v>365</v>
      </c>
      <c r="L121" s="1330" t="str">
        <f t="shared" si="16"/>
        <v>Non renseigné</v>
      </c>
      <c r="M121" s="736" t="str">
        <f t="shared" si="12"/>
        <v>-</v>
      </c>
      <c r="N121" s="822" t="e">
        <f t="shared" si="13"/>
        <v>#VALUE!</v>
      </c>
      <c r="O121" s="733" t="e">
        <f t="shared" si="27"/>
        <v>#VALUE!</v>
      </c>
      <c r="P121" s="822" t="e">
        <f t="shared" si="28"/>
        <v>#VALUE!</v>
      </c>
      <c r="Q121" s="823"/>
      <c r="R121" s="942"/>
      <c r="S121" s="402" t="e">
        <f t="shared" si="29"/>
        <v>#VALUE!</v>
      </c>
      <c r="T121" s="402" t="e">
        <f t="shared" si="30"/>
        <v>#VALUE!</v>
      </c>
      <c r="U121" s="402" t="e">
        <f t="shared" si="31"/>
        <v>#VALUE!</v>
      </c>
      <c r="V121" s="402" t="e">
        <f t="shared" si="32"/>
        <v>#VALUE!</v>
      </c>
      <c r="W121" s="402" t="e">
        <f t="shared" si="33"/>
        <v>#VALUE!</v>
      </c>
      <c r="X121" s="402" t="e">
        <f t="shared" si="34"/>
        <v>#VALUE!</v>
      </c>
      <c r="Y121" s="402" t="e">
        <f t="shared" si="35"/>
        <v>#VALUE!</v>
      </c>
      <c r="Z121" s="402" t="e">
        <f t="shared" si="36"/>
        <v>#VALUE!</v>
      </c>
      <c r="AA121" s="402" t="e">
        <f t="shared" si="37"/>
        <v>#VALUE!</v>
      </c>
      <c r="AB121" s="669" t="e">
        <f t="shared" si="38"/>
        <v>#VALUE!</v>
      </c>
      <c r="AC121" s="403"/>
    </row>
    <row r="122" spans="2:29" s="121" customFormat="1" outlineLevel="1">
      <c r="B122" s="1167"/>
      <c r="C122" s="1168"/>
      <c r="D122" s="1750" t="s">
        <v>290</v>
      </c>
      <c r="E122" s="1751"/>
      <c r="F122" s="1751"/>
      <c r="G122" s="1752"/>
      <c r="H122" s="835"/>
      <c r="I122" s="1327" t="e">
        <f t="shared" si="0"/>
        <v>#DIV/0!</v>
      </c>
      <c r="J122" s="736" t="s">
        <v>365</v>
      </c>
      <c r="K122" s="736" t="s">
        <v>365</v>
      </c>
      <c r="L122" s="1330" t="str">
        <f t="shared" si="16"/>
        <v>Non renseigné</v>
      </c>
      <c r="M122" s="736" t="str">
        <f t="shared" si="12"/>
        <v>-</v>
      </c>
      <c r="N122" s="822" t="e">
        <f t="shared" si="13"/>
        <v>#VALUE!</v>
      </c>
      <c r="O122" s="733" t="e">
        <f t="shared" si="27"/>
        <v>#VALUE!</v>
      </c>
      <c r="P122" s="822" t="e">
        <f t="shared" si="28"/>
        <v>#VALUE!</v>
      </c>
      <c r="Q122" s="823"/>
      <c r="R122" s="942"/>
      <c r="S122" s="402" t="e">
        <f t="shared" si="29"/>
        <v>#VALUE!</v>
      </c>
      <c r="T122" s="402" t="e">
        <f t="shared" si="30"/>
        <v>#VALUE!</v>
      </c>
      <c r="U122" s="402" t="e">
        <f t="shared" si="31"/>
        <v>#VALUE!</v>
      </c>
      <c r="V122" s="402" t="e">
        <f t="shared" si="32"/>
        <v>#VALUE!</v>
      </c>
      <c r="W122" s="402" t="e">
        <f t="shared" si="33"/>
        <v>#VALUE!</v>
      </c>
      <c r="X122" s="402" t="e">
        <f t="shared" si="34"/>
        <v>#VALUE!</v>
      </c>
      <c r="Y122" s="402" t="e">
        <f t="shared" si="35"/>
        <v>#VALUE!</v>
      </c>
      <c r="Z122" s="402" t="e">
        <f t="shared" si="36"/>
        <v>#VALUE!</v>
      </c>
      <c r="AA122" s="402" t="e">
        <f t="shared" si="37"/>
        <v>#VALUE!</v>
      </c>
      <c r="AB122" s="669" t="e">
        <f t="shared" si="38"/>
        <v>#VALUE!</v>
      </c>
      <c r="AC122" s="403"/>
    </row>
    <row r="123" spans="2:29" s="121" customFormat="1" outlineLevel="1">
      <c r="B123" s="1167"/>
      <c r="C123" s="1168"/>
      <c r="D123" s="1750" t="s">
        <v>290</v>
      </c>
      <c r="E123" s="1751"/>
      <c r="F123" s="1751"/>
      <c r="G123" s="1752"/>
      <c r="H123" s="835"/>
      <c r="I123" s="1327" t="e">
        <f t="shared" si="0"/>
        <v>#DIV/0!</v>
      </c>
      <c r="J123" s="736" t="s">
        <v>365</v>
      </c>
      <c r="K123" s="736" t="s">
        <v>365</v>
      </c>
      <c r="L123" s="1330" t="str">
        <f t="shared" si="16"/>
        <v>Non renseigné</v>
      </c>
      <c r="M123" s="736" t="str">
        <f t="shared" si="12"/>
        <v>-</v>
      </c>
      <c r="N123" s="822" t="e">
        <f t="shared" si="13"/>
        <v>#VALUE!</v>
      </c>
      <c r="O123" s="733" t="e">
        <f t="shared" si="27"/>
        <v>#VALUE!</v>
      </c>
      <c r="P123" s="822" t="e">
        <f t="shared" si="28"/>
        <v>#VALUE!</v>
      </c>
      <c r="Q123" s="823"/>
      <c r="R123" s="942"/>
      <c r="S123" s="402" t="e">
        <f t="shared" si="29"/>
        <v>#VALUE!</v>
      </c>
      <c r="T123" s="402" t="e">
        <f t="shared" si="30"/>
        <v>#VALUE!</v>
      </c>
      <c r="U123" s="402" t="e">
        <f t="shared" si="31"/>
        <v>#VALUE!</v>
      </c>
      <c r="V123" s="402" t="e">
        <f t="shared" si="32"/>
        <v>#VALUE!</v>
      </c>
      <c r="W123" s="402" t="e">
        <f t="shared" si="33"/>
        <v>#VALUE!</v>
      </c>
      <c r="X123" s="402" t="e">
        <f t="shared" si="34"/>
        <v>#VALUE!</v>
      </c>
      <c r="Y123" s="402" t="e">
        <f t="shared" si="35"/>
        <v>#VALUE!</v>
      </c>
      <c r="Z123" s="402" t="e">
        <f t="shared" si="36"/>
        <v>#VALUE!</v>
      </c>
      <c r="AA123" s="402" t="e">
        <f t="shared" si="37"/>
        <v>#VALUE!</v>
      </c>
      <c r="AB123" s="669" t="e">
        <f t="shared" si="38"/>
        <v>#VALUE!</v>
      </c>
      <c r="AC123" s="403"/>
    </row>
    <row r="124" spans="2:29" s="121" customFormat="1" outlineLevel="1">
      <c r="B124" s="1167"/>
      <c r="C124" s="1168"/>
      <c r="D124" s="1750" t="s">
        <v>290</v>
      </c>
      <c r="E124" s="1751"/>
      <c r="F124" s="1751"/>
      <c r="G124" s="1752"/>
      <c r="H124" s="835"/>
      <c r="I124" s="1327" t="e">
        <f t="shared" si="0"/>
        <v>#DIV/0!</v>
      </c>
      <c r="J124" s="736" t="s">
        <v>365</v>
      </c>
      <c r="K124" s="736" t="s">
        <v>365</v>
      </c>
      <c r="L124" s="1330" t="str">
        <f t="shared" si="16"/>
        <v>Non renseigné</v>
      </c>
      <c r="M124" s="736" t="str">
        <f t="shared" si="12"/>
        <v>-</v>
      </c>
      <c r="N124" s="822" t="e">
        <f t="shared" si="13"/>
        <v>#VALUE!</v>
      </c>
      <c r="O124" s="733" t="e">
        <f t="shared" si="27"/>
        <v>#VALUE!</v>
      </c>
      <c r="P124" s="822" t="e">
        <f t="shared" si="28"/>
        <v>#VALUE!</v>
      </c>
      <c r="Q124" s="823"/>
      <c r="R124" s="942"/>
      <c r="S124" s="402" t="e">
        <f t="shared" si="29"/>
        <v>#VALUE!</v>
      </c>
      <c r="T124" s="402" t="e">
        <f t="shared" si="30"/>
        <v>#VALUE!</v>
      </c>
      <c r="U124" s="402" t="e">
        <f t="shared" si="31"/>
        <v>#VALUE!</v>
      </c>
      <c r="V124" s="402" t="e">
        <f t="shared" si="32"/>
        <v>#VALUE!</v>
      </c>
      <c r="W124" s="402" t="e">
        <f t="shared" si="33"/>
        <v>#VALUE!</v>
      </c>
      <c r="X124" s="402" t="e">
        <f t="shared" si="34"/>
        <v>#VALUE!</v>
      </c>
      <c r="Y124" s="402" t="e">
        <f t="shared" si="35"/>
        <v>#VALUE!</v>
      </c>
      <c r="Z124" s="402" t="e">
        <f t="shared" si="36"/>
        <v>#VALUE!</v>
      </c>
      <c r="AA124" s="402" t="e">
        <f t="shared" si="37"/>
        <v>#VALUE!</v>
      </c>
      <c r="AB124" s="669" t="e">
        <f t="shared" si="38"/>
        <v>#VALUE!</v>
      </c>
      <c r="AC124" s="403"/>
    </row>
    <row r="125" spans="2:29" s="121" customFormat="1" outlineLevel="1">
      <c r="B125" s="1167"/>
      <c r="C125" s="1168"/>
      <c r="D125" s="1750" t="s">
        <v>290</v>
      </c>
      <c r="E125" s="1751"/>
      <c r="F125" s="1751"/>
      <c r="G125" s="1752"/>
      <c r="H125" s="835"/>
      <c r="I125" s="1327" t="e">
        <f t="shared" si="0"/>
        <v>#DIV/0!</v>
      </c>
      <c r="J125" s="736" t="s">
        <v>365</v>
      </c>
      <c r="K125" s="736" t="s">
        <v>365</v>
      </c>
      <c r="L125" s="1330" t="str">
        <f t="shared" si="16"/>
        <v>Non renseigné</v>
      </c>
      <c r="M125" s="736" t="str">
        <f t="shared" si="12"/>
        <v>-</v>
      </c>
      <c r="N125" s="822" t="e">
        <f t="shared" si="13"/>
        <v>#VALUE!</v>
      </c>
      <c r="O125" s="733" t="e">
        <f t="shared" si="27"/>
        <v>#VALUE!</v>
      </c>
      <c r="P125" s="822" t="e">
        <f t="shared" si="28"/>
        <v>#VALUE!</v>
      </c>
      <c r="Q125" s="823"/>
      <c r="R125" s="942"/>
      <c r="S125" s="402" t="e">
        <f t="shared" si="29"/>
        <v>#VALUE!</v>
      </c>
      <c r="T125" s="402" t="e">
        <f t="shared" si="30"/>
        <v>#VALUE!</v>
      </c>
      <c r="U125" s="402" t="e">
        <f t="shared" si="31"/>
        <v>#VALUE!</v>
      </c>
      <c r="V125" s="402" t="e">
        <f t="shared" si="32"/>
        <v>#VALUE!</v>
      </c>
      <c r="W125" s="402" t="e">
        <f t="shared" si="33"/>
        <v>#VALUE!</v>
      </c>
      <c r="X125" s="402" t="e">
        <f t="shared" si="34"/>
        <v>#VALUE!</v>
      </c>
      <c r="Y125" s="402" t="e">
        <f t="shared" si="35"/>
        <v>#VALUE!</v>
      </c>
      <c r="Z125" s="402" t="e">
        <f t="shared" si="36"/>
        <v>#VALUE!</v>
      </c>
      <c r="AA125" s="402" t="e">
        <f t="shared" si="37"/>
        <v>#VALUE!</v>
      </c>
      <c r="AB125" s="669" t="e">
        <f t="shared" si="38"/>
        <v>#VALUE!</v>
      </c>
      <c r="AC125" s="403"/>
    </row>
    <row r="126" spans="2:29" s="121" customFormat="1" outlineLevel="1">
      <c r="B126" s="1167"/>
      <c r="C126" s="1168"/>
      <c r="D126" s="1750" t="s">
        <v>290</v>
      </c>
      <c r="E126" s="1751"/>
      <c r="F126" s="1751"/>
      <c r="G126" s="1752"/>
      <c r="H126" s="835"/>
      <c r="I126" s="1327" t="e">
        <f t="shared" si="0"/>
        <v>#DIV/0!</v>
      </c>
      <c r="J126" s="736" t="s">
        <v>365</v>
      </c>
      <c r="K126" s="736" t="s">
        <v>365</v>
      </c>
      <c r="L126" s="1330" t="str">
        <f t="shared" si="16"/>
        <v>Non renseigné</v>
      </c>
      <c r="M126" s="736" t="str">
        <f t="shared" si="12"/>
        <v>-</v>
      </c>
      <c r="N126" s="822" t="e">
        <f t="shared" si="13"/>
        <v>#VALUE!</v>
      </c>
      <c r="O126" s="733" t="e">
        <f t="shared" si="27"/>
        <v>#VALUE!</v>
      </c>
      <c r="P126" s="822" t="e">
        <f t="shared" si="28"/>
        <v>#VALUE!</v>
      </c>
      <c r="Q126" s="823"/>
      <c r="R126" s="942"/>
      <c r="S126" s="402" t="e">
        <f t="shared" si="29"/>
        <v>#VALUE!</v>
      </c>
      <c r="T126" s="402" t="e">
        <f t="shared" si="30"/>
        <v>#VALUE!</v>
      </c>
      <c r="U126" s="402" t="e">
        <f t="shared" si="31"/>
        <v>#VALUE!</v>
      </c>
      <c r="V126" s="402" t="e">
        <f t="shared" si="32"/>
        <v>#VALUE!</v>
      </c>
      <c r="W126" s="402" t="e">
        <f t="shared" si="33"/>
        <v>#VALUE!</v>
      </c>
      <c r="X126" s="402" t="e">
        <f t="shared" si="34"/>
        <v>#VALUE!</v>
      </c>
      <c r="Y126" s="402" t="e">
        <f t="shared" si="35"/>
        <v>#VALUE!</v>
      </c>
      <c r="Z126" s="402" t="e">
        <f t="shared" si="36"/>
        <v>#VALUE!</v>
      </c>
      <c r="AA126" s="402" t="e">
        <f t="shared" si="37"/>
        <v>#VALUE!</v>
      </c>
      <c r="AB126" s="669" t="e">
        <f t="shared" si="38"/>
        <v>#VALUE!</v>
      </c>
      <c r="AC126" s="403"/>
    </row>
    <row r="127" spans="2:29" s="121" customFormat="1" outlineLevel="1">
      <c r="B127" s="1167"/>
      <c r="C127" s="1168"/>
      <c r="D127" s="1750" t="s">
        <v>290</v>
      </c>
      <c r="E127" s="1751"/>
      <c r="F127" s="1751"/>
      <c r="G127" s="1752"/>
      <c r="H127" s="835"/>
      <c r="I127" s="1327" t="e">
        <f t="shared" si="0"/>
        <v>#DIV/0!</v>
      </c>
      <c r="J127" s="736" t="s">
        <v>365</v>
      </c>
      <c r="K127" s="736" t="s">
        <v>365</v>
      </c>
      <c r="L127" s="1330" t="str">
        <f t="shared" si="16"/>
        <v>Non renseigné</v>
      </c>
      <c r="M127" s="736" t="str">
        <f t="shared" si="12"/>
        <v>-</v>
      </c>
      <c r="N127" s="822" t="e">
        <f t="shared" si="13"/>
        <v>#VALUE!</v>
      </c>
      <c r="O127" s="733" t="e">
        <f t="shared" si="27"/>
        <v>#VALUE!</v>
      </c>
      <c r="P127" s="822" t="e">
        <f t="shared" si="28"/>
        <v>#VALUE!</v>
      </c>
      <c r="Q127" s="823"/>
      <c r="R127" s="942"/>
      <c r="S127" s="402" t="e">
        <f t="shared" si="29"/>
        <v>#VALUE!</v>
      </c>
      <c r="T127" s="402" t="e">
        <f t="shared" si="30"/>
        <v>#VALUE!</v>
      </c>
      <c r="U127" s="402" t="e">
        <f t="shared" si="31"/>
        <v>#VALUE!</v>
      </c>
      <c r="V127" s="402" t="e">
        <f t="shared" si="32"/>
        <v>#VALUE!</v>
      </c>
      <c r="W127" s="402" t="e">
        <f t="shared" si="33"/>
        <v>#VALUE!</v>
      </c>
      <c r="X127" s="402" t="e">
        <f t="shared" si="34"/>
        <v>#VALUE!</v>
      </c>
      <c r="Y127" s="402" t="e">
        <f t="shared" si="35"/>
        <v>#VALUE!</v>
      </c>
      <c r="Z127" s="402" t="e">
        <f t="shared" si="36"/>
        <v>#VALUE!</v>
      </c>
      <c r="AA127" s="402" t="e">
        <f t="shared" si="37"/>
        <v>#VALUE!</v>
      </c>
      <c r="AB127" s="669" t="e">
        <f t="shared" si="38"/>
        <v>#VALUE!</v>
      </c>
      <c r="AC127" s="403"/>
    </row>
    <row r="128" spans="2:29" s="121" customFormat="1" outlineLevel="1">
      <c r="B128" s="1167"/>
      <c r="C128" s="1168"/>
      <c r="D128" s="1750" t="s">
        <v>290</v>
      </c>
      <c r="E128" s="1751"/>
      <c r="F128" s="1751"/>
      <c r="G128" s="1752"/>
      <c r="H128" s="835"/>
      <c r="I128" s="1327" t="e">
        <f t="shared" si="0"/>
        <v>#DIV/0!</v>
      </c>
      <c r="J128" s="736" t="s">
        <v>365</v>
      </c>
      <c r="K128" s="736" t="s">
        <v>365</v>
      </c>
      <c r="L128" s="1330" t="str">
        <f t="shared" si="16"/>
        <v>Non renseigné</v>
      </c>
      <c r="M128" s="736" t="str">
        <f t="shared" si="12"/>
        <v>-</v>
      </c>
      <c r="N128" s="822" t="e">
        <f t="shared" si="13"/>
        <v>#VALUE!</v>
      </c>
      <c r="O128" s="733" t="e">
        <f t="shared" si="27"/>
        <v>#VALUE!</v>
      </c>
      <c r="P128" s="822" t="e">
        <f t="shared" si="28"/>
        <v>#VALUE!</v>
      </c>
      <c r="Q128" s="823"/>
      <c r="R128" s="942"/>
      <c r="S128" s="402" t="e">
        <f t="shared" si="29"/>
        <v>#VALUE!</v>
      </c>
      <c r="T128" s="402" t="e">
        <f t="shared" si="30"/>
        <v>#VALUE!</v>
      </c>
      <c r="U128" s="402" t="e">
        <f t="shared" si="31"/>
        <v>#VALUE!</v>
      </c>
      <c r="V128" s="402" t="e">
        <f t="shared" si="32"/>
        <v>#VALUE!</v>
      </c>
      <c r="W128" s="402" t="e">
        <f t="shared" si="33"/>
        <v>#VALUE!</v>
      </c>
      <c r="X128" s="402" t="e">
        <f t="shared" si="34"/>
        <v>#VALUE!</v>
      </c>
      <c r="Y128" s="402" t="e">
        <f t="shared" si="35"/>
        <v>#VALUE!</v>
      </c>
      <c r="Z128" s="402" t="e">
        <f t="shared" si="36"/>
        <v>#VALUE!</v>
      </c>
      <c r="AA128" s="402" t="e">
        <f t="shared" si="37"/>
        <v>#VALUE!</v>
      </c>
      <c r="AB128" s="669" t="e">
        <f t="shared" si="38"/>
        <v>#VALUE!</v>
      </c>
      <c r="AC128" s="403"/>
    </row>
    <row r="129" spans="2:29" outlineLevel="1">
      <c r="B129" s="1167"/>
      <c r="C129" s="1168"/>
      <c r="D129" s="1750" t="s">
        <v>290</v>
      </c>
      <c r="E129" s="1751"/>
      <c r="F129" s="1751"/>
      <c r="G129" s="1752"/>
      <c r="H129" s="835"/>
      <c r="I129" s="1327" t="e">
        <f t="shared" si="0"/>
        <v>#DIV/0!</v>
      </c>
      <c r="J129" s="736" t="s">
        <v>365</v>
      </c>
      <c r="K129" s="736" t="s">
        <v>365</v>
      </c>
      <c r="L129" s="1330" t="str">
        <f t="shared" si="16"/>
        <v>Non renseigné</v>
      </c>
      <c r="M129" s="736" t="str">
        <f t="shared" si="12"/>
        <v>-</v>
      </c>
      <c r="N129" s="822" t="e">
        <f t="shared" si="13"/>
        <v>#VALUE!</v>
      </c>
      <c r="O129" s="733" t="e">
        <f t="shared" si="27"/>
        <v>#VALUE!</v>
      </c>
      <c r="P129" s="822" t="e">
        <f t="shared" si="28"/>
        <v>#VALUE!</v>
      </c>
      <c r="Q129" s="823"/>
      <c r="R129" s="942"/>
      <c r="S129" s="402" t="e">
        <f t="shared" si="29"/>
        <v>#VALUE!</v>
      </c>
      <c r="T129" s="402" t="e">
        <f t="shared" si="30"/>
        <v>#VALUE!</v>
      </c>
      <c r="U129" s="402" t="e">
        <f t="shared" si="31"/>
        <v>#VALUE!</v>
      </c>
      <c r="V129" s="402" t="e">
        <f t="shared" si="32"/>
        <v>#VALUE!</v>
      </c>
      <c r="W129" s="402" t="e">
        <f t="shared" si="33"/>
        <v>#VALUE!</v>
      </c>
      <c r="X129" s="402" t="e">
        <f t="shared" si="34"/>
        <v>#VALUE!</v>
      </c>
      <c r="Y129" s="402" t="e">
        <f t="shared" si="35"/>
        <v>#VALUE!</v>
      </c>
      <c r="Z129" s="402" t="e">
        <f t="shared" si="36"/>
        <v>#VALUE!</v>
      </c>
      <c r="AA129" s="402" t="e">
        <f t="shared" si="37"/>
        <v>#VALUE!</v>
      </c>
      <c r="AB129" s="669" t="e">
        <f t="shared" si="38"/>
        <v>#VALUE!</v>
      </c>
    </row>
    <row r="130" spans="2:29" s="121" customFormat="1" outlineLevel="1">
      <c r="B130" s="1167"/>
      <c r="C130" s="1168"/>
      <c r="D130" s="1750" t="s">
        <v>290</v>
      </c>
      <c r="E130" s="1751"/>
      <c r="F130" s="1751"/>
      <c r="G130" s="1752"/>
      <c r="H130" s="835"/>
      <c r="I130" s="1327" t="e">
        <f t="shared" si="0"/>
        <v>#DIV/0!</v>
      </c>
      <c r="J130" s="736" t="s">
        <v>365</v>
      </c>
      <c r="K130" s="736" t="s">
        <v>365</v>
      </c>
      <c r="L130" s="1330" t="str">
        <f t="shared" si="16"/>
        <v>Non renseigné</v>
      </c>
      <c r="M130" s="736" t="str">
        <f t="shared" si="12"/>
        <v>-</v>
      </c>
      <c r="N130" s="822" t="e">
        <f t="shared" si="13"/>
        <v>#VALUE!</v>
      </c>
      <c r="O130" s="733" t="e">
        <f t="shared" si="27"/>
        <v>#VALUE!</v>
      </c>
      <c r="P130" s="822" t="e">
        <f t="shared" si="28"/>
        <v>#VALUE!</v>
      </c>
      <c r="Q130" s="823"/>
      <c r="R130" s="942"/>
      <c r="S130" s="402" t="e">
        <f t="shared" si="29"/>
        <v>#VALUE!</v>
      </c>
      <c r="T130" s="402" t="e">
        <f t="shared" si="30"/>
        <v>#VALUE!</v>
      </c>
      <c r="U130" s="402" t="e">
        <f t="shared" si="31"/>
        <v>#VALUE!</v>
      </c>
      <c r="V130" s="402" t="e">
        <f t="shared" si="32"/>
        <v>#VALUE!</v>
      </c>
      <c r="W130" s="402" t="e">
        <f t="shared" si="33"/>
        <v>#VALUE!</v>
      </c>
      <c r="X130" s="402" t="e">
        <f t="shared" si="34"/>
        <v>#VALUE!</v>
      </c>
      <c r="Y130" s="402" t="e">
        <f t="shared" si="35"/>
        <v>#VALUE!</v>
      </c>
      <c r="Z130" s="402" t="e">
        <f t="shared" si="36"/>
        <v>#VALUE!</v>
      </c>
      <c r="AA130" s="402" t="e">
        <f t="shared" si="37"/>
        <v>#VALUE!</v>
      </c>
      <c r="AB130" s="669" t="e">
        <f t="shared" si="38"/>
        <v>#VALUE!</v>
      </c>
      <c r="AC130" s="403"/>
    </row>
    <row r="131" spans="2:29" s="121" customFormat="1" outlineLevel="1">
      <c r="B131" s="1167"/>
      <c r="C131" s="1168"/>
      <c r="D131" s="1750" t="s">
        <v>290</v>
      </c>
      <c r="E131" s="1751"/>
      <c r="F131" s="1751"/>
      <c r="G131" s="1752"/>
      <c r="H131" s="835"/>
      <c r="I131" s="1327" t="e">
        <f t="shared" si="0"/>
        <v>#DIV/0!</v>
      </c>
      <c r="J131" s="736" t="s">
        <v>365</v>
      </c>
      <c r="K131" s="736" t="s">
        <v>365</v>
      </c>
      <c r="L131" s="1330" t="str">
        <f t="shared" si="16"/>
        <v>Non renseigné</v>
      </c>
      <c r="M131" s="736" t="str">
        <f t="shared" si="12"/>
        <v>-</v>
      </c>
      <c r="N131" s="822" t="e">
        <f t="shared" si="13"/>
        <v>#VALUE!</v>
      </c>
      <c r="O131" s="733" t="e">
        <f t="shared" si="27"/>
        <v>#VALUE!</v>
      </c>
      <c r="P131" s="822" t="e">
        <f t="shared" si="28"/>
        <v>#VALUE!</v>
      </c>
      <c r="Q131" s="823"/>
      <c r="R131" s="942"/>
      <c r="S131" s="402" t="e">
        <f t="shared" si="29"/>
        <v>#VALUE!</v>
      </c>
      <c r="T131" s="402" t="e">
        <f t="shared" si="30"/>
        <v>#VALUE!</v>
      </c>
      <c r="U131" s="402" t="e">
        <f t="shared" si="31"/>
        <v>#VALUE!</v>
      </c>
      <c r="V131" s="402" t="e">
        <f t="shared" si="32"/>
        <v>#VALUE!</v>
      </c>
      <c r="W131" s="402" t="e">
        <f t="shared" si="33"/>
        <v>#VALUE!</v>
      </c>
      <c r="X131" s="402" t="e">
        <f t="shared" si="34"/>
        <v>#VALUE!</v>
      </c>
      <c r="Y131" s="402" t="e">
        <f t="shared" si="35"/>
        <v>#VALUE!</v>
      </c>
      <c r="Z131" s="402" t="e">
        <f t="shared" si="36"/>
        <v>#VALUE!</v>
      </c>
      <c r="AA131" s="402" t="e">
        <f t="shared" si="37"/>
        <v>#VALUE!</v>
      </c>
      <c r="AB131" s="669" t="e">
        <f t="shared" si="38"/>
        <v>#VALUE!</v>
      </c>
      <c r="AC131" s="403"/>
    </row>
    <row r="132" spans="2:29" s="121" customFormat="1" outlineLevel="1">
      <c r="B132" s="1167"/>
      <c r="C132" s="1168"/>
      <c r="D132" s="1750" t="s">
        <v>290</v>
      </c>
      <c r="E132" s="1751"/>
      <c r="F132" s="1751"/>
      <c r="G132" s="1752"/>
      <c r="H132" s="835"/>
      <c r="I132" s="1327" t="e">
        <f t="shared" si="0"/>
        <v>#DIV/0!</v>
      </c>
      <c r="J132" s="736" t="s">
        <v>365</v>
      </c>
      <c r="K132" s="736" t="s">
        <v>365</v>
      </c>
      <c r="L132" s="1330" t="str">
        <f t="shared" si="16"/>
        <v>Non renseigné</v>
      </c>
      <c r="M132" s="736" t="str">
        <f t="shared" si="12"/>
        <v>-</v>
      </c>
      <c r="N132" s="822" t="e">
        <f t="shared" si="13"/>
        <v>#VALUE!</v>
      </c>
      <c r="O132" s="733" t="e">
        <f t="shared" si="27"/>
        <v>#VALUE!</v>
      </c>
      <c r="P132" s="822" t="e">
        <f t="shared" si="28"/>
        <v>#VALUE!</v>
      </c>
      <c r="Q132" s="823"/>
      <c r="R132" s="942"/>
      <c r="S132" s="402" t="e">
        <f t="shared" si="29"/>
        <v>#VALUE!</v>
      </c>
      <c r="T132" s="402" t="e">
        <f t="shared" si="30"/>
        <v>#VALUE!</v>
      </c>
      <c r="U132" s="402" t="e">
        <f t="shared" si="31"/>
        <v>#VALUE!</v>
      </c>
      <c r="V132" s="402" t="e">
        <f t="shared" si="32"/>
        <v>#VALUE!</v>
      </c>
      <c r="W132" s="402" t="e">
        <f t="shared" si="33"/>
        <v>#VALUE!</v>
      </c>
      <c r="X132" s="402" t="e">
        <f t="shared" si="34"/>
        <v>#VALUE!</v>
      </c>
      <c r="Y132" s="402" t="e">
        <f t="shared" si="35"/>
        <v>#VALUE!</v>
      </c>
      <c r="Z132" s="402" t="e">
        <f t="shared" si="36"/>
        <v>#VALUE!</v>
      </c>
      <c r="AA132" s="402" t="e">
        <f t="shared" si="37"/>
        <v>#VALUE!</v>
      </c>
      <c r="AB132" s="669" t="e">
        <f t="shared" si="38"/>
        <v>#VALUE!</v>
      </c>
      <c r="AC132" s="403"/>
    </row>
    <row r="133" spans="2:29" s="121" customFormat="1" outlineLevel="1">
      <c r="B133" s="1167"/>
      <c r="C133" s="1168"/>
      <c r="D133" s="1750" t="s">
        <v>290</v>
      </c>
      <c r="E133" s="1751"/>
      <c r="F133" s="1751"/>
      <c r="G133" s="1752"/>
      <c r="H133" s="835"/>
      <c r="I133" s="1327" t="e">
        <f t="shared" si="0"/>
        <v>#DIV/0!</v>
      </c>
      <c r="J133" s="736" t="s">
        <v>365</v>
      </c>
      <c r="K133" s="736" t="s">
        <v>365</v>
      </c>
      <c r="L133" s="1330" t="str">
        <f t="shared" si="16"/>
        <v>Non renseigné</v>
      </c>
      <c r="M133" s="736" t="str">
        <f t="shared" si="12"/>
        <v>-</v>
      </c>
      <c r="N133" s="822" t="e">
        <f t="shared" si="13"/>
        <v>#VALUE!</v>
      </c>
      <c r="O133" s="733" t="e">
        <f t="shared" si="27"/>
        <v>#VALUE!</v>
      </c>
      <c r="P133" s="822" t="e">
        <f t="shared" si="28"/>
        <v>#VALUE!</v>
      </c>
      <c r="Q133" s="823"/>
      <c r="R133" s="942"/>
      <c r="S133" s="402" t="e">
        <f t="shared" si="29"/>
        <v>#VALUE!</v>
      </c>
      <c r="T133" s="402" t="e">
        <f t="shared" si="30"/>
        <v>#VALUE!</v>
      </c>
      <c r="U133" s="402" t="e">
        <f t="shared" si="31"/>
        <v>#VALUE!</v>
      </c>
      <c r="V133" s="402" t="e">
        <f t="shared" si="32"/>
        <v>#VALUE!</v>
      </c>
      <c r="W133" s="402" t="e">
        <f t="shared" si="33"/>
        <v>#VALUE!</v>
      </c>
      <c r="X133" s="402" t="e">
        <f t="shared" si="34"/>
        <v>#VALUE!</v>
      </c>
      <c r="Y133" s="402" t="e">
        <f t="shared" si="35"/>
        <v>#VALUE!</v>
      </c>
      <c r="Z133" s="402" t="e">
        <f t="shared" si="36"/>
        <v>#VALUE!</v>
      </c>
      <c r="AA133" s="402" t="e">
        <f t="shared" si="37"/>
        <v>#VALUE!</v>
      </c>
      <c r="AB133" s="669" t="e">
        <f t="shared" si="38"/>
        <v>#VALUE!</v>
      </c>
      <c r="AC133" s="403"/>
    </row>
    <row r="134" spans="2:29" s="121" customFormat="1" outlineLevel="1">
      <c r="B134" s="1167"/>
      <c r="C134" s="1168"/>
      <c r="D134" s="1750" t="s">
        <v>290</v>
      </c>
      <c r="E134" s="1751"/>
      <c r="F134" s="1751"/>
      <c r="G134" s="1752"/>
      <c r="H134" s="835"/>
      <c r="I134" s="1327" t="e">
        <f t="shared" si="0"/>
        <v>#DIV/0!</v>
      </c>
      <c r="J134" s="736" t="s">
        <v>365</v>
      </c>
      <c r="K134" s="736" t="s">
        <v>365</v>
      </c>
      <c r="L134" s="1330" t="str">
        <f t="shared" si="16"/>
        <v>Non renseigné</v>
      </c>
      <c r="M134" s="736" t="str">
        <f t="shared" si="12"/>
        <v>-</v>
      </c>
      <c r="N134" s="822" t="e">
        <f t="shared" si="13"/>
        <v>#VALUE!</v>
      </c>
      <c r="O134" s="733" t="e">
        <f t="shared" si="27"/>
        <v>#VALUE!</v>
      </c>
      <c r="P134" s="822" t="e">
        <f t="shared" si="28"/>
        <v>#VALUE!</v>
      </c>
      <c r="Q134" s="823"/>
      <c r="R134" s="942"/>
      <c r="S134" s="402" t="e">
        <f t="shared" si="29"/>
        <v>#VALUE!</v>
      </c>
      <c r="T134" s="402" t="e">
        <f t="shared" si="30"/>
        <v>#VALUE!</v>
      </c>
      <c r="U134" s="402" t="e">
        <f t="shared" si="31"/>
        <v>#VALUE!</v>
      </c>
      <c r="V134" s="402" t="e">
        <f t="shared" si="32"/>
        <v>#VALUE!</v>
      </c>
      <c r="W134" s="402" t="e">
        <f t="shared" si="33"/>
        <v>#VALUE!</v>
      </c>
      <c r="X134" s="402" t="e">
        <f t="shared" si="34"/>
        <v>#VALUE!</v>
      </c>
      <c r="Y134" s="402" t="e">
        <f t="shared" si="35"/>
        <v>#VALUE!</v>
      </c>
      <c r="Z134" s="402" t="e">
        <f t="shared" si="36"/>
        <v>#VALUE!</v>
      </c>
      <c r="AA134" s="402" t="e">
        <f t="shared" si="37"/>
        <v>#VALUE!</v>
      </c>
      <c r="AB134" s="669" t="e">
        <f t="shared" si="38"/>
        <v>#VALUE!</v>
      </c>
      <c r="AC134" s="403"/>
    </row>
    <row r="135" spans="2:29" s="121" customFormat="1" outlineLevel="1">
      <c r="B135" s="1167"/>
      <c r="C135" s="1168"/>
      <c r="D135" s="1750" t="s">
        <v>290</v>
      </c>
      <c r="E135" s="1751"/>
      <c r="F135" s="1751"/>
      <c r="G135" s="1752"/>
      <c r="H135" s="835"/>
      <c r="I135" s="1327" t="e">
        <f t="shared" si="0"/>
        <v>#DIV/0!</v>
      </c>
      <c r="J135" s="736" t="s">
        <v>365</v>
      </c>
      <c r="K135" s="736" t="s">
        <v>365</v>
      </c>
      <c r="L135" s="1330" t="str">
        <f t="shared" si="16"/>
        <v>Non renseigné</v>
      </c>
      <c r="M135" s="736" t="str">
        <f t="shared" si="12"/>
        <v>-</v>
      </c>
      <c r="N135" s="822" t="e">
        <f t="shared" si="13"/>
        <v>#VALUE!</v>
      </c>
      <c r="O135" s="733" t="e">
        <f t="shared" si="27"/>
        <v>#VALUE!</v>
      </c>
      <c r="P135" s="822" t="e">
        <f t="shared" si="28"/>
        <v>#VALUE!</v>
      </c>
      <c r="Q135" s="823"/>
      <c r="R135" s="942"/>
      <c r="S135" s="402" t="e">
        <f t="shared" si="29"/>
        <v>#VALUE!</v>
      </c>
      <c r="T135" s="402" t="e">
        <f t="shared" si="30"/>
        <v>#VALUE!</v>
      </c>
      <c r="U135" s="402" t="e">
        <f t="shared" si="31"/>
        <v>#VALUE!</v>
      </c>
      <c r="V135" s="402" t="e">
        <f t="shared" si="32"/>
        <v>#VALUE!</v>
      </c>
      <c r="W135" s="402" t="e">
        <f t="shared" si="33"/>
        <v>#VALUE!</v>
      </c>
      <c r="X135" s="402" t="e">
        <f t="shared" si="34"/>
        <v>#VALUE!</v>
      </c>
      <c r="Y135" s="402" t="e">
        <f t="shared" si="35"/>
        <v>#VALUE!</v>
      </c>
      <c r="Z135" s="402" t="e">
        <f t="shared" si="36"/>
        <v>#VALUE!</v>
      </c>
      <c r="AA135" s="402" t="e">
        <f t="shared" si="37"/>
        <v>#VALUE!</v>
      </c>
      <c r="AB135" s="669" t="e">
        <f t="shared" si="38"/>
        <v>#VALUE!</v>
      </c>
      <c r="AC135" s="403"/>
    </row>
    <row r="136" spans="2:29" s="121" customFormat="1" outlineLevel="1">
      <c r="B136" s="1167"/>
      <c r="C136" s="1168"/>
      <c r="D136" s="1750" t="s">
        <v>290</v>
      </c>
      <c r="E136" s="1751"/>
      <c r="F136" s="1751"/>
      <c r="G136" s="1752"/>
      <c r="H136" s="835"/>
      <c r="I136" s="1327" t="e">
        <f t="shared" si="0"/>
        <v>#DIV/0!</v>
      </c>
      <c r="J136" s="736" t="s">
        <v>365</v>
      </c>
      <c r="K136" s="736" t="s">
        <v>365</v>
      </c>
      <c r="L136" s="1330" t="str">
        <f t="shared" si="16"/>
        <v>Non renseigné</v>
      </c>
      <c r="M136" s="736" t="str">
        <f t="shared" si="12"/>
        <v>-</v>
      </c>
      <c r="N136" s="822" t="e">
        <f t="shared" si="13"/>
        <v>#VALUE!</v>
      </c>
      <c r="O136" s="733" t="e">
        <f t="shared" si="27"/>
        <v>#VALUE!</v>
      </c>
      <c r="P136" s="822" t="e">
        <f t="shared" si="28"/>
        <v>#VALUE!</v>
      </c>
      <c r="Q136" s="823"/>
      <c r="R136" s="942"/>
      <c r="S136" s="402" t="e">
        <f t="shared" si="29"/>
        <v>#VALUE!</v>
      </c>
      <c r="T136" s="402" t="e">
        <f t="shared" si="30"/>
        <v>#VALUE!</v>
      </c>
      <c r="U136" s="402" t="e">
        <f t="shared" si="31"/>
        <v>#VALUE!</v>
      </c>
      <c r="V136" s="402" t="e">
        <f t="shared" si="32"/>
        <v>#VALUE!</v>
      </c>
      <c r="W136" s="402" t="e">
        <f t="shared" si="33"/>
        <v>#VALUE!</v>
      </c>
      <c r="X136" s="402" t="e">
        <f t="shared" si="34"/>
        <v>#VALUE!</v>
      </c>
      <c r="Y136" s="402" t="e">
        <f t="shared" si="35"/>
        <v>#VALUE!</v>
      </c>
      <c r="Z136" s="402" t="e">
        <f t="shared" si="36"/>
        <v>#VALUE!</v>
      </c>
      <c r="AA136" s="402" t="e">
        <f t="shared" si="37"/>
        <v>#VALUE!</v>
      </c>
      <c r="AB136" s="669" t="e">
        <f t="shared" si="38"/>
        <v>#VALUE!</v>
      </c>
      <c r="AC136" s="403"/>
    </row>
    <row r="137" spans="2:29" s="121" customFormat="1" outlineLevel="1">
      <c r="B137" s="1167"/>
      <c r="C137" s="1168"/>
      <c r="D137" s="1750" t="s">
        <v>290</v>
      </c>
      <c r="E137" s="1751"/>
      <c r="F137" s="1751"/>
      <c r="G137" s="1752"/>
      <c r="H137" s="835"/>
      <c r="I137" s="1327" t="e">
        <f t="shared" si="0"/>
        <v>#DIV/0!</v>
      </c>
      <c r="J137" s="736" t="s">
        <v>365</v>
      </c>
      <c r="K137" s="736" t="s">
        <v>365</v>
      </c>
      <c r="L137" s="1330" t="str">
        <f t="shared" si="16"/>
        <v>Non renseigné</v>
      </c>
      <c r="M137" s="736" t="str">
        <f t="shared" si="12"/>
        <v>-</v>
      </c>
      <c r="N137" s="822" t="e">
        <f t="shared" si="13"/>
        <v>#VALUE!</v>
      </c>
      <c r="O137" s="733" t="e">
        <f t="shared" si="27"/>
        <v>#VALUE!</v>
      </c>
      <c r="P137" s="822" t="e">
        <f t="shared" si="28"/>
        <v>#VALUE!</v>
      </c>
      <c r="Q137" s="823"/>
      <c r="R137" s="942"/>
      <c r="S137" s="402" t="e">
        <f t="shared" si="29"/>
        <v>#VALUE!</v>
      </c>
      <c r="T137" s="402" t="e">
        <f t="shared" si="30"/>
        <v>#VALUE!</v>
      </c>
      <c r="U137" s="402" t="e">
        <f t="shared" si="31"/>
        <v>#VALUE!</v>
      </c>
      <c r="V137" s="402" t="e">
        <f t="shared" si="32"/>
        <v>#VALUE!</v>
      </c>
      <c r="W137" s="402" t="e">
        <f t="shared" si="33"/>
        <v>#VALUE!</v>
      </c>
      <c r="X137" s="402" t="e">
        <f t="shared" si="34"/>
        <v>#VALUE!</v>
      </c>
      <c r="Y137" s="402" t="e">
        <f t="shared" si="35"/>
        <v>#VALUE!</v>
      </c>
      <c r="Z137" s="402" t="e">
        <f t="shared" si="36"/>
        <v>#VALUE!</v>
      </c>
      <c r="AA137" s="402" t="e">
        <f t="shared" si="37"/>
        <v>#VALUE!</v>
      </c>
      <c r="AB137" s="669" t="e">
        <f t="shared" si="38"/>
        <v>#VALUE!</v>
      </c>
      <c r="AC137" s="403"/>
    </row>
    <row r="138" spans="2:29" s="121" customFormat="1" outlineLevel="1">
      <c r="B138" s="1167"/>
      <c r="C138" s="1168"/>
      <c r="D138" s="1750" t="s">
        <v>290</v>
      </c>
      <c r="E138" s="1751"/>
      <c r="F138" s="1751"/>
      <c r="G138" s="1752"/>
      <c r="H138" s="835"/>
      <c r="I138" s="1327" t="e">
        <f t="shared" si="0"/>
        <v>#DIV/0!</v>
      </c>
      <c r="J138" s="736" t="s">
        <v>365</v>
      </c>
      <c r="K138" s="736" t="s">
        <v>365</v>
      </c>
      <c r="L138" s="1330" t="str">
        <f t="shared" si="16"/>
        <v>Non renseigné</v>
      </c>
      <c r="M138" s="736" t="str">
        <f t="shared" si="12"/>
        <v>-</v>
      </c>
      <c r="N138" s="822" t="e">
        <f t="shared" si="13"/>
        <v>#VALUE!</v>
      </c>
      <c r="O138" s="733" t="e">
        <f t="shared" si="27"/>
        <v>#VALUE!</v>
      </c>
      <c r="P138" s="822" t="e">
        <f t="shared" si="28"/>
        <v>#VALUE!</v>
      </c>
      <c r="Q138" s="823"/>
      <c r="R138" s="942"/>
      <c r="S138" s="402" t="e">
        <f t="shared" si="29"/>
        <v>#VALUE!</v>
      </c>
      <c r="T138" s="402" t="e">
        <f t="shared" si="30"/>
        <v>#VALUE!</v>
      </c>
      <c r="U138" s="402" t="e">
        <f t="shared" si="31"/>
        <v>#VALUE!</v>
      </c>
      <c r="V138" s="402" t="e">
        <f t="shared" si="32"/>
        <v>#VALUE!</v>
      </c>
      <c r="W138" s="402" t="e">
        <f t="shared" si="33"/>
        <v>#VALUE!</v>
      </c>
      <c r="X138" s="402" t="e">
        <f t="shared" si="34"/>
        <v>#VALUE!</v>
      </c>
      <c r="Y138" s="402" t="e">
        <f t="shared" si="35"/>
        <v>#VALUE!</v>
      </c>
      <c r="Z138" s="402" t="e">
        <f t="shared" si="36"/>
        <v>#VALUE!</v>
      </c>
      <c r="AA138" s="402" t="e">
        <f t="shared" si="37"/>
        <v>#VALUE!</v>
      </c>
      <c r="AB138" s="669" t="e">
        <f t="shared" si="38"/>
        <v>#VALUE!</v>
      </c>
      <c r="AC138" s="403"/>
    </row>
    <row r="139" spans="2:29" outlineLevel="1">
      <c r="B139" s="1167"/>
      <c r="C139" s="1168"/>
      <c r="D139" s="1750" t="s">
        <v>290</v>
      </c>
      <c r="E139" s="1751"/>
      <c r="F139" s="1751"/>
      <c r="G139" s="1752"/>
      <c r="H139" s="835"/>
      <c r="I139" s="1327" t="e">
        <f t="shared" si="0"/>
        <v>#DIV/0!</v>
      </c>
      <c r="J139" s="736" t="s">
        <v>365</v>
      </c>
      <c r="K139" s="736" t="s">
        <v>365</v>
      </c>
      <c r="L139" s="1330" t="str">
        <f t="shared" si="16"/>
        <v>Non renseigné</v>
      </c>
      <c r="M139" s="736" t="str">
        <f t="shared" si="12"/>
        <v>-</v>
      </c>
      <c r="N139" s="822" t="e">
        <f t="shared" si="13"/>
        <v>#VALUE!</v>
      </c>
      <c r="O139" s="733" t="e">
        <f t="shared" si="27"/>
        <v>#VALUE!</v>
      </c>
      <c r="P139" s="822" t="e">
        <f t="shared" si="28"/>
        <v>#VALUE!</v>
      </c>
      <c r="Q139" s="823"/>
      <c r="R139" s="942"/>
      <c r="S139" s="402" t="e">
        <f t="shared" si="29"/>
        <v>#VALUE!</v>
      </c>
      <c r="T139" s="402" t="e">
        <f t="shared" si="30"/>
        <v>#VALUE!</v>
      </c>
      <c r="U139" s="402" t="e">
        <f t="shared" si="31"/>
        <v>#VALUE!</v>
      </c>
      <c r="V139" s="402" t="e">
        <f t="shared" si="32"/>
        <v>#VALUE!</v>
      </c>
      <c r="W139" s="402" t="e">
        <f t="shared" si="33"/>
        <v>#VALUE!</v>
      </c>
      <c r="X139" s="402" t="e">
        <f t="shared" si="34"/>
        <v>#VALUE!</v>
      </c>
      <c r="Y139" s="402" t="e">
        <f t="shared" si="35"/>
        <v>#VALUE!</v>
      </c>
      <c r="Z139" s="402" t="e">
        <f t="shared" si="36"/>
        <v>#VALUE!</v>
      </c>
      <c r="AA139" s="402" t="e">
        <f t="shared" si="37"/>
        <v>#VALUE!</v>
      </c>
      <c r="AB139" s="669" t="e">
        <f t="shared" si="38"/>
        <v>#VALUE!</v>
      </c>
    </row>
    <row r="140" spans="2:29" s="121" customFormat="1" outlineLevel="1">
      <c r="B140" s="1167"/>
      <c r="C140" s="1168"/>
      <c r="D140" s="1750" t="s">
        <v>290</v>
      </c>
      <c r="E140" s="1751"/>
      <c r="F140" s="1751"/>
      <c r="G140" s="1752"/>
      <c r="H140" s="835"/>
      <c r="I140" s="1327" t="e">
        <f t="shared" si="0"/>
        <v>#DIV/0!</v>
      </c>
      <c r="J140" s="736" t="s">
        <v>365</v>
      </c>
      <c r="K140" s="736" t="s">
        <v>365</v>
      </c>
      <c r="L140" s="1330" t="str">
        <f t="shared" si="16"/>
        <v>Non renseigné</v>
      </c>
      <c r="M140" s="736" t="str">
        <f t="shared" si="12"/>
        <v>-</v>
      </c>
      <c r="N140" s="822" t="e">
        <f t="shared" si="13"/>
        <v>#VALUE!</v>
      </c>
      <c r="O140" s="733" t="e">
        <f t="shared" si="27"/>
        <v>#VALUE!</v>
      </c>
      <c r="P140" s="822" t="e">
        <f t="shared" si="28"/>
        <v>#VALUE!</v>
      </c>
      <c r="Q140" s="823"/>
      <c r="R140" s="942"/>
      <c r="S140" s="402" t="e">
        <f t="shared" si="29"/>
        <v>#VALUE!</v>
      </c>
      <c r="T140" s="402" t="e">
        <f t="shared" si="30"/>
        <v>#VALUE!</v>
      </c>
      <c r="U140" s="402" t="e">
        <f t="shared" si="31"/>
        <v>#VALUE!</v>
      </c>
      <c r="V140" s="402" t="e">
        <f t="shared" si="32"/>
        <v>#VALUE!</v>
      </c>
      <c r="W140" s="402" t="e">
        <f t="shared" si="33"/>
        <v>#VALUE!</v>
      </c>
      <c r="X140" s="402" t="e">
        <f t="shared" si="34"/>
        <v>#VALUE!</v>
      </c>
      <c r="Y140" s="402" t="e">
        <f t="shared" si="35"/>
        <v>#VALUE!</v>
      </c>
      <c r="Z140" s="402" t="e">
        <f t="shared" si="36"/>
        <v>#VALUE!</v>
      </c>
      <c r="AA140" s="402" t="e">
        <f t="shared" si="37"/>
        <v>#VALUE!</v>
      </c>
      <c r="AB140" s="669" t="e">
        <f t="shared" si="38"/>
        <v>#VALUE!</v>
      </c>
      <c r="AC140" s="403"/>
    </row>
    <row r="141" spans="2:29" s="121" customFormat="1" outlineLevel="1">
      <c r="B141" s="1167"/>
      <c r="C141" s="1168"/>
      <c r="D141" s="1750" t="s">
        <v>290</v>
      </c>
      <c r="E141" s="1751"/>
      <c r="F141" s="1751"/>
      <c r="G141" s="1752"/>
      <c r="H141" s="835"/>
      <c r="I141" s="1327" t="e">
        <f t="shared" si="0"/>
        <v>#DIV/0!</v>
      </c>
      <c r="J141" s="736" t="s">
        <v>365</v>
      </c>
      <c r="K141" s="736" t="s">
        <v>365</v>
      </c>
      <c r="L141" s="1330" t="str">
        <f t="shared" si="16"/>
        <v>Non renseigné</v>
      </c>
      <c r="M141" s="736" t="str">
        <f t="shared" si="12"/>
        <v>-</v>
      </c>
      <c r="N141" s="822" t="e">
        <f t="shared" si="13"/>
        <v>#VALUE!</v>
      </c>
      <c r="O141" s="733" t="e">
        <f t="shared" si="27"/>
        <v>#VALUE!</v>
      </c>
      <c r="P141" s="822" t="e">
        <f t="shared" si="28"/>
        <v>#VALUE!</v>
      </c>
      <c r="Q141" s="823"/>
      <c r="R141" s="942"/>
      <c r="S141" s="402" t="e">
        <f t="shared" si="29"/>
        <v>#VALUE!</v>
      </c>
      <c r="T141" s="402" t="e">
        <f t="shared" si="30"/>
        <v>#VALUE!</v>
      </c>
      <c r="U141" s="402" t="e">
        <f t="shared" si="31"/>
        <v>#VALUE!</v>
      </c>
      <c r="V141" s="402" t="e">
        <f t="shared" si="32"/>
        <v>#VALUE!</v>
      </c>
      <c r="W141" s="402" t="e">
        <f t="shared" si="33"/>
        <v>#VALUE!</v>
      </c>
      <c r="X141" s="402" t="e">
        <f t="shared" si="34"/>
        <v>#VALUE!</v>
      </c>
      <c r="Y141" s="402" t="e">
        <f t="shared" si="35"/>
        <v>#VALUE!</v>
      </c>
      <c r="Z141" s="402" t="e">
        <f t="shared" si="36"/>
        <v>#VALUE!</v>
      </c>
      <c r="AA141" s="402" t="e">
        <f t="shared" si="37"/>
        <v>#VALUE!</v>
      </c>
      <c r="AB141" s="669" t="e">
        <f t="shared" si="38"/>
        <v>#VALUE!</v>
      </c>
      <c r="AC141" s="403"/>
    </row>
    <row r="142" spans="2:29" s="121" customFormat="1" outlineLevel="1">
      <c r="B142" s="1167"/>
      <c r="C142" s="1168"/>
      <c r="D142" s="1750" t="s">
        <v>290</v>
      </c>
      <c r="E142" s="1751"/>
      <c r="F142" s="1751"/>
      <c r="G142" s="1752"/>
      <c r="H142" s="835"/>
      <c r="I142" s="1327" t="e">
        <f t="shared" si="0"/>
        <v>#DIV/0!</v>
      </c>
      <c r="J142" s="736" t="s">
        <v>365</v>
      </c>
      <c r="K142" s="736" t="s">
        <v>365</v>
      </c>
      <c r="L142" s="1330" t="str">
        <f t="shared" si="16"/>
        <v>Non renseigné</v>
      </c>
      <c r="M142" s="736" t="str">
        <f t="shared" si="12"/>
        <v>-</v>
      </c>
      <c r="N142" s="822" t="e">
        <f t="shared" si="13"/>
        <v>#VALUE!</v>
      </c>
      <c r="O142" s="733" t="e">
        <f t="shared" si="27"/>
        <v>#VALUE!</v>
      </c>
      <c r="P142" s="822" t="e">
        <f t="shared" si="28"/>
        <v>#VALUE!</v>
      </c>
      <c r="Q142" s="823"/>
      <c r="R142" s="942"/>
      <c r="S142" s="402" t="e">
        <f t="shared" si="29"/>
        <v>#VALUE!</v>
      </c>
      <c r="T142" s="402" t="e">
        <f t="shared" si="30"/>
        <v>#VALUE!</v>
      </c>
      <c r="U142" s="402" t="e">
        <f t="shared" si="31"/>
        <v>#VALUE!</v>
      </c>
      <c r="V142" s="402" t="e">
        <f t="shared" si="32"/>
        <v>#VALUE!</v>
      </c>
      <c r="W142" s="402" t="e">
        <f t="shared" si="33"/>
        <v>#VALUE!</v>
      </c>
      <c r="X142" s="402" t="e">
        <f t="shared" si="34"/>
        <v>#VALUE!</v>
      </c>
      <c r="Y142" s="402" t="e">
        <f t="shared" si="35"/>
        <v>#VALUE!</v>
      </c>
      <c r="Z142" s="402" t="e">
        <f t="shared" si="36"/>
        <v>#VALUE!</v>
      </c>
      <c r="AA142" s="402" t="e">
        <f t="shared" si="37"/>
        <v>#VALUE!</v>
      </c>
      <c r="AB142" s="669" t="e">
        <f t="shared" si="38"/>
        <v>#VALUE!</v>
      </c>
      <c r="AC142" s="403"/>
    </row>
    <row r="143" spans="2:29" s="121" customFormat="1" outlineLevel="1">
      <c r="B143" s="1167"/>
      <c r="C143" s="1168"/>
      <c r="D143" s="1750" t="s">
        <v>290</v>
      </c>
      <c r="E143" s="1751"/>
      <c r="F143" s="1751"/>
      <c r="G143" s="1752"/>
      <c r="H143" s="835"/>
      <c r="I143" s="1327" t="e">
        <f t="shared" si="0"/>
        <v>#DIV/0!</v>
      </c>
      <c r="J143" s="736" t="s">
        <v>365</v>
      </c>
      <c r="K143" s="736" t="s">
        <v>365</v>
      </c>
      <c r="L143" s="1330" t="str">
        <f t="shared" si="16"/>
        <v>Non renseigné</v>
      </c>
      <c r="M143" s="736" t="str">
        <f t="shared" si="12"/>
        <v>-</v>
      </c>
      <c r="N143" s="822" t="e">
        <f t="shared" si="13"/>
        <v>#VALUE!</v>
      </c>
      <c r="O143" s="733" t="e">
        <f t="shared" si="27"/>
        <v>#VALUE!</v>
      </c>
      <c r="P143" s="822" t="e">
        <f t="shared" si="28"/>
        <v>#VALUE!</v>
      </c>
      <c r="Q143" s="823"/>
      <c r="R143" s="942"/>
      <c r="S143" s="402" t="e">
        <f t="shared" si="29"/>
        <v>#VALUE!</v>
      </c>
      <c r="T143" s="402" t="e">
        <f t="shared" si="30"/>
        <v>#VALUE!</v>
      </c>
      <c r="U143" s="402" t="e">
        <f t="shared" si="31"/>
        <v>#VALUE!</v>
      </c>
      <c r="V143" s="402" t="e">
        <f t="shared" si="32"/>
        <v>#VALUE!</v>
      </c>
      <c r="W143" s="402" t="e">
        <f t="shared" si="33"/>
        <v>#VALUE!</v>
      </c>
      <c r="X143" s="402" t="e">
        <f t="shared" si="34"/>
        <v>#VALUE!</v>
      </c>
      <c r="Y143" s="402" t="e">
        <f t="shared" si="35"/>
        <v>#VALUE!</v>
      </c>
      <c r="Z143" s="402" t="e">
        <f t="shared" si="36"/>
        <v>#VALUE!</v>
      </c>
      <c r="AA143" s="402" t="e">
        <f t="shared" si="37"/>
        <v>#VALUE!</v>
      </c>
      <c r="AB143" s="669" t="e">
        <f t="shared" si="38"/>
        <v>#VALUE!</v>
      </c>
      <c r="AC143" s="403"/>
    </row>
    <row r="144" spans="2:29" s="121" customFormat="1" outlineLevel="1">
      <c r="B144" s="1167"/>
      <c r="C144" s="1168"/>
      <c r="D144" s="1750" t="s">
        <v>290</v>
      </c>
      <c r="E144" s="1751"/>
      <c r="F144" s="1751"/>
      <c r="G144" s="1752"/>
      <c r="H144" s="835"/>
      <c r="I144" s="1327" t="e">
        <f t="shared" si="0"/>
        <v>#DIV/0!</v>
      </c>
      <c r="J144" s="736" t="s">
        <v>365</v>
      </c>
      <c r="K144" s="736" t="s">
        <v>365</v>
      </c>
      <c r="L144" s="1330" t="str">
        <f t="shared" si="16"/>
        <v>Non renseigné</v>
      </c>
      <c r="M144" s="736" t="str">
        <f t="shared" si="12"/>
        <v>-</v>
      </c>
      <c r="N144" s="822" t="e">
        <f t="shared" si="13"/>
        <v>#VALUE!</v>
      </c>
      <c r="O144" s="733" t="e">
        <f t="shared" si="27"/>
        <v>#VALUE!</v>
      </c>
      <c r="P144" s="822" t="e">
        <f t="shared" si="28"/>
        <v>#VALUE!</v>
      </c>
      <c r="Q144" s="823"/>
      <c r="R144" s="942"/>
      <c r="S144" s="402" t="e">
        <f t="shared" si="29"/>
        <v>#VALUE!</v>
      </c>
      <c r="T144" s="402" t="e">
        <f t="shared" si="30"/>
        <v>#VALUE!</v>
      </c>
      <c r="U144" s="402" t="e">
        <f t="shared" si="31"/>
        <v>#VALUE!</v>
      </c>
      <c r="V144" s="402" t="e">
        <f t="shared" si="32"/>
        <v>#VALUE!</v>
      </c>
      <c r="W144" s="402" t="e">
        <f t="shared" si="33"/>
        <v>#VALUE!</v>
      </c>
      <c r="X144" s="402" t="e">
        <f t="shared" si="34"/>
        <v>#VALUE!</v>
      </c>
      <c r="Y144" s="402" t="e">
        <f t="shared" si="35"/>
        <v>#VALUE!</v>
      </c>
      <c r="Z144" s="402" t="e">
        <f t="shared" si="36"/>
        <v>#VALUE!</v>
      </c>
      <c r="AA144" s="402" t="e">
        <f t="shared" si="37"/>
        <v>#VALUE!</v>
      </c>
      <c r="AB144" s="669" t="e">
        <f t="shared" si="38"/>
        <v>#VALUE!</v>
      </c>
      <c r="AC144" s="403"/>
    </row>
    <row r="145" spans="2:29" s="121" customFormat="1" outlineLevel="1">
      <c r="B145" s="1167"/>
      <c r="C145" s="1168"/>
      <c r="D145" s="1750" t="s">
        <v>290</v>
      </c>
      <c r="E145" s="1751"/>
      <c r="F145" s="1751"/>
      <c r="G145" s="1752"/>
      <c r="H145" s="835"/>
      <c r="I145" s="1327" t="e">
        <f t="shared" si="0"/>
        <v>#DIV/0!</v>
      </c>
      <c r="J145" s="736" t="s">
        <v>365</v>
      </c>
      <c r="K145" s="736" t="s">
        <v>365</v>
      </c>
      <c r="L145" s="1330" t="str">
        <f t="shared" si="16"/>
        <v>Non renseigné</v>
      </c>
      <c r="M145" s="736" t="str">
        <f t="shared" si="12"/>
        <v>-</v>
      </c>
      <c r="N145" s="822" t="e">
        <f t="shared" si="13"/>
        <v>#VALUE!</v>
      </c>
      <c r="O145" s="733" t="e">
        <f t="shared" si="27"/>
        <v>#VALUE!</v>
      </c>
      <c r="P145" s="822" t="e">
        <f t="shared" si="28"/>
        <v>#VALUE!</v>
      </c>
      <c r="Q145" s="823"/>
      <c r="R145" s="942"/>
      <c r="S145" s="402" t="e">
        <f t="shared" si="29"/>
        <v>#VALUE!</v>
      </c>
      <c r="T145" s="402" t="e">
        <f t="shared" si="30"/>
        <v>#VALUE!</v>
      </c>
      <c r="U145" s="402" t="e">
        <f t="shared" si="31"/>
        <v>#VALUE!</v>
      </c>
      <c r="V145" s="402" t="e">
        <f t="shared" si="32"/>
        <v>#VALUE!</v>
      </c>
      <c r="W145" s="402" t="e">
        <f t="shared" si="33"/>
        <v>#VALUE!</v>
      </c>
      <c r="X145" s="402" t="e">
        <f t="shared" si="34"/>
        <v>#VALUE!</v>
      </c>
      <c r="Y145" s="402" t="e">
        <f t="shared" si="35"/>
        <v>#VALUE!</v>
      </c>
      <c r="Z145" s="402" t="e">
        <f t="shared" si="36"/>
        <v>#VALUE!</v>
      </c>
      <c r="AA145" s="402" t="e">
        <f t="shared" si="37"/>
        <v>#VALUE!</v>
      </c>
      <c r="AB145" s="669" t="e">
        <f t="shared" si="38"/>
        <v>#VALUE!</v>
      </c>
      <c r="AC145" s="403"/>
    </row>
    <row r="146" spans="2:29" s="121" customFormat="1" outlineLevel="1">
      <c r="B146" s="1167"/>
      <c r="C146" s="1168"/>
      <c r="D146" s="1750" t="s">
        <v>290</v>
      </c>
      <c r="E146" s="1751"/>
      <c r="F146" s="1751"/>
      <c r="G146" s="1752"/>
      <c r="H146" s="835"/>
      <c r="I146" s="1327" t="e">
        <f t="shared" si="0"/>
        <v>#DIV/0!</v>
      </c>
      <c r="J146" s="736" t="s">
        <v>365</v>
      </c>
      <c r="K146" s="736" t="s">
        <v>365</v>
      </c>
      <c r="L146" s="1330" t="str">
        <f t="shared" si="16"/>
        <v>Non renseigné</v>
      </c>
      <c r="M146" s="736" t="str">
        <f t="shared" si="12"/>
        <v>-</v>
      </c>
      <c r="N146" s="822" t="e">
        <f t="shared" si="13"/>
        <v>#VALUE!</v>
      </c>
      <c r="O146" s="733" t="e">
        <f t="shared" si="27"/>
        <v>#VALUE!</v>
      </c>
      <c r="P146" s="822" t="e">
        <f t="shared" si="28"/>
        <v>#VALUE!</v>
      </c>
      <c r="Q146" s="823"/>
      <c r="R146" s="942"/>
      <c r="S146" s="402" t="e">
        <f t="shared" si="29"/>
        <v>#VALUE!</v>
      </c>
      <c r="T146" s="402" t="e">
        <f t="shared" si="30"/>
        <v>#VALUE!</v>
      </c>
      <c r="U146" s="402" t="e">
        <f t="shared" si="31"/>
        <v>#VALUE!</v>
      </c>
      <c r="V146" s="402" t="e">
        <f t="shared" si="32"/>
        <v>#VALUE!</v>
      </c>
      <c r="W146" s="402" t="e">
        <f t="shared" si="33"/>
        <v>#VALUE!</v>
      </c>
      <c r="X146" s="402" t="e">
        <f t="shared" si="34"/>
        <v>#VALUE!</v>
      </c>
      <c r="Y146" s="402" t="e">
        <f t="shared" si="35"/>
        <v>#VALUE!</v>
      </c>
      <c r="Z146" s="402" t="e">
        <f t="shared" si="36"/>
        <v>#VALUE!</v>
      </c>
      <c r="AA146" s="402" t="e">
        <f t="shared" si="37"/>
        <v>#VALUE!</v>
      </c>
      <c r="AB146" s="669" t="e">
        <f t="shared" si="38"/>
        <v>#VALUE!</v>
      </c>
      <c r="AC146" s="403"/>
    </row>
    <row r="147" spans="2:29" s="121" customFormat="1" outlineLevel="1">
      <c r="B147" s="1167"/>
      <c r="C147" s="1168"/>
      <c r="D147" s="1750" t="s">
        <v>290</v>
      </c>
      <c r="E147" s="1751"/>
      <c r="F147" s="1751"/>
      <c r="G147" s="1752"/>
      <c r="H147" s="835"/>
      <c r="I147" s="1327" t="e">
        <f t="shared" si="0"/>
        <v>#DIV/0!</v>
      </c>
      <c r="J147" s="736" t="s">
        <v>365</v>
      </c>
      <c r="K147" s="736" t="s">
        <v>365</v>
      </c>
      <c r="L147" s="1330" t="str">
        <f t="shared" si="16"/>
        <v>Non renseigné</v>
      </c>
      <c r="M147" s="736" t="str">
        <f t="shared" si="12"/>
        <v>-</v>
      </c>
      <c r="N147" s="822" t="e">
        <f t="shared" si="13"/>
        <v>#VALUE!</v>
      </c>
      <c r="O147" s="733" t="e">
        <f t="shared" si="27"/>
        <v>#VALUE!</v>
      </c>
      <c r="P147" s="822" t="e">
        <f t="shared" si="28"/>
        <v>#VALUE!</v>
      </c>
      <c r="Q147" s="823"/>
      <c r="R147" s="942"/>
      <c r="S147" s="402" t="e">
        <f t="shared" si="29"/>
        <v>#VALUE!</v>
      </c>
      <c r="T147" s="402" t="e">
        <f t="shared" si="30"/>
        <v>#VALUE!</v>
      </c>
      <c r="U147" s="402" t="e">
        <f t="shared" si="31"/>
        <v>#VALUE!</v>
      </c>
      <c r="V147" s="402" t="e">
        <f t="shared" si="32"/>
        <v>#VALUE!</v>
      </c>
      <c r="W147" s="402" t="e">
        <f t="shared" si="33"/>
        <v>#VALUE!</v>
      </c>
      <c r="X147" s="402" t="e">
        <f t="shared" si="34"/>
        <v>#VALUE!</v>
      </c>
      <c r="Y147" s="402" t="e">
        <f t="shared" si="35"/>
        <v>#VALUE!</v>
      </c>
      <c r="Z147" s="402" t="e">
        <f t="shared" si="36"/>
        <v>#VALUE!</v>
      </c>
      <c r="AA147" s="402" t="e">
        <f t="shared" si="37"/>
        <v>#VALUE!</v>
      </c>
      <c r="AB147" s="669" t="e">
        <f t="shared" si="38"/>
        <v>#VALUE!</v>
      </c>
      <c r="AC147" s="403"/>
    </row>
    <row r="148" spans="2:29" s="121" customFormat="1" outlineLevel="1">
      <c r="B148" s="1167"/>
      <c r="C148" s="1168"/>
      <c r="D148" s="1750" t="s">
        <v>290</v>
      </c>
      <c r="E148" s="1751"/>
      <c r="F148" s="1751"/>
      <c r="G148" s="1752"/>
      <c r="H148" s="835"/>
      <c r="I148" s="1327" t="e">
        <f t="shared" si="0"/>
        <v>#DIV/0!</v>
      </c>
      <c r="J148" s="736" t="s">
        <v>365</v>
      </c>
      <c r="K148" s="736" t="s">
        <v>365</v>
      </c>
      <c r="L148" s="1330" t="str">
        <f t="shared" si="16"/>
        <v>Non renseigné</v>
      </c>
      <c r="M148" s="736" t="str">
        <f t="shared" si="12"/>
        <v>-</v>
      </c>
      <c r="N148" s="822" t="e">
        <f t="shared" si="13"/>
        <v>#VALUE!</v>
      </c>
      <c r="O148" s="733" t="e">
        <f t="shared" si="27"/>
        <v>#VALUE!</v>
      </c>
      <c r="P148" s="822" t="e">
        <f t="shared" si="28"/>
        <v>#VALUE!</v>
      </c>
      <c r="Q148" s="823"/>
      <c r="R148" s="942"/>
      <c r="S148" s="402" t="e">
        <f t="shared" si="29"/>
        <v>#VALUE!</v>
      </c>
      <c r="T148" s="402" t="e">
        <f t="shared" si="30"/>
        <v>#VALUE!</v>
      </c>
      <c r="U148" s="402" t="e">
        <f t="shared" si="31"/>
        <v>#VALUE!</v>
      </c>
      <c r="V148" s="402" t="e">
        <f t="shared" si="32"/>
        <v>#VALUE!</v>
      </c>
      <c r="W148" s="402" t="e">
        <f t="shared" si="33"/>
        <v>#VALUE!</v>
      </c>
      <c r="X148" s="402" t="e">
        <f t="shared" si="34"/>
        <v>#VALUE!</v>
      </c>
      <c r="Y148" s="402" t="e">
        <f t="shared" si="35"/>
        <v>#VALUE!</v>
      </c>
      <c r="Z148" s="402" t="e">
        <f t="shared" si="36"/>
        <v>#VALUE!</v>
      </c>
      <c r="AA148" s="402" t="e">
        <f t="shared" si="37"/>
        <v>#VALUE!</v>
      </c>
      <c r="AB148" s="669" t="e">
        <f t="shared" si="38"/>
        <v>#VALUE!</v>
      </c>
      <c r="AC148" s="403"/>
    </row>
    <row r="149" spans="2:29" outlineLevel="1">
      <c r="B149" s="1167"/>
      <c r="C149" s="1168"/>
      <c r="D149" s="1750" t="s">
        <v>290</v>
      </c>
      <c r="E149" s="1751"/>
      <c r="F149" s="1751"/>
      <c r="G149" s="1752"/>
      <c r="H149" s="835"/>
      <c r="I149" s="1327" t="e">
        <f t="shared" si="0"/>
        <v>#DIV/0!</v>
      </c>
      <c r="J149" s="736" t="s">
        <v>365</v>
      </c>
      <c r="K149" s="736" t="s">
        <v>365</v>
      </c>
      <c r="L149" s="1330" t="str">
        <f t="shared" si="16"/>
        <v>Non renseigné</v>
      </c>
      <c r="M149" s="736" t="str">
        <f t="shared" si="12"/>
        <v>-</v>
      </c>
      <c r="N149" s="822" t="e">
        <f t="shared" si="13"/>
        <v>#VALUE!</v>
      </c>
      <c r="O149" s="733" t="e">
        <f t="shared" si="27"/>
        <v>#VALUE!</v>
      </c>
      <c r="P149" s="822" t="e">
        <f t="shared" si="28"/>
        <v>#VALUE!</v>
      </c>
      <c r="Q149" s="823"/>
      <c r="R149" s="942"/>
      <c r="S149" s="402" t="e">
        <f t="shared" si="29"/>
        <v>#VALUE!</v>
      </c>
      <c r="T149" s="402" t="e">
        <f t="shared" si="30"/>
        <v>#VALUE!</v>
      </c>
      <c r="U149" s="402" t="e">
        <f t="shared" si="31"/>
        <v>#VALUE!</v>
      </c>
      <c r="V149" s="402" t="e">
        <f t="shared" si="32"/>
        <v>#VALUE!</v>
      </c>
      <c r="W149" s="402" t="e">
        <f t="shared" si="33"/>
        <v>#VALUE!</v>
      </c>
      <c r="X149" s="402" t="e">
        <f t="shared" si="34"/>
        <v>#VALUE!</v>
      </c>
      <c r="Y149" s="402" t="e">
        <f t="shared" si="35"/>
        <v>#VALUE!</v>
      </c>
      <c r="Z149" s="402" t="e">
        <f t="shared" si="36"/>
        <v>#VALUE!</v>
      </c>
      <c r="AA149" s="402" t="e">
        <f t="shared" si="37"/>
        <v>#VALUE!</v>
      </c>
      <c r="AB149" s="669" t="e">
        <f t="shared" si="38"/>
        <v>#VALUE!</v>
      </c>
    </row>
    <row r="150" spans="2:29" s="121" customFormat="1" outlineLevel="1">
      <c r="B150" s="1167"/>
      <c r="C150" s="1168"/>
      <c r="D150" s="1750" t="s">
        <v>290</v>
      </c>
      <c r="E150" s="1751"/>
      <c r="F150" s="1751"/>
      <c r="G150" s="1752"/>
      <c r="H150" s="835"/>
      <c r="I150" s="1327" t="e">
        <f t="shared" si="0"/>
        <v>#DIV/0!</v>
      </c>
      <c r="J150" s="736" t="s">
        <v>365</v>
      </c>
      <c r="K150" s="736" t="s">
        <v>365</v>
      </c>
      <c r="L150" s="1330" t="str">
        <f t="shared" si="16"/>
        <v>Non renseigné</v>
      </c>
      <c r="M150" s="736" t="str">
        <f t="shared" si="12"/>
        <v>-</v>
      </c>
      <c r="N150" s="822" t="e">
        <f t="shared" si="13"/>
        <v>#VALUE!</v>
      </c>
      <c r="O150" s="733" t="e">
        <f t="shared" si="27"/>
        <v>#VALUE!</v>
      </c>
      <c r="P150" s="822" t="e">
        <f t="shared" si="28"/>
        <v>#VALUE!</v>
      </c>
      <c r="Q150" s="823"/>
      <c r="R150" s="942"/>
      <c r="S150" s="402" t="e">
        <f t="shared" si="29"/>
        <v>#VALUE!</v>
      </c>
      <c r="T150" s="402" t="e">
        <f t="shared" si="30"/>
        <v>#VALUE!</v>
      </c>
      <c r="U150" s="402" t="e">
        <f t="shared" si="31"/>
        <v>#VALUE!</v>
      </c>
      <c r="V150" s="402" t="e">
        <f t="shared" si="32"/>
        <v>#VALUE!</v>
      </c>
      <c r="W150" s="402" t="e">
        <f t="shared" si="33"/>
        <v>#VALUE!</v>
      </c>
      <c r="X150" s="402" t="e">
        <f t="shared" si="34"/>
        <v>#VALUE!</v>
      </c>
      <c r="Y150" s="402" t="e">
        <f t="shared" si="35"/>
        <v>#VALUE!</v>
      </c>
      <c r="Z150" s="402" t="e">
        <f t="shared" si="36"/>
        <v>#VALUE!</v>
      </c>
      <c r="AA150" s="402" t="e">
        <f t="shared" si="37"/>
        <v>#VALUE!</v>
      </c>
      <c r="AB150" s="669" t="e">
        <f t="shared" si="38"/>
        <v>#VALUE!</v>
      </c>
      <c r="AC150" s="403"/>
    </row>
    <row r="151" spans="2:29" s="121" customFormat="1" outlineLevel="1">
      <c r="B151" s="1167"/>
      <c r="C151" s="1168"/>
      <c r="D151" s="1750" t="s">
        <v>290</v>
      </c>
      <c r="E151" s="1751"/>
      <c r="F151" s="1751"/>
      <c r="G151" s="1752"/>
      <c r="H151" s="835"/>
      <c r="I151" s="1327" t="e">
        <f t="shared" si="0"/>
        <v>#DIV/0!</v>
      </c>
      <c r="J151" s="736" t="s">
        <v>365</v>
      </c>
      <c r="K151" s="736" t="s">
        <v>365</v>
      </c>
      <c r="L151" s="1330" t="str">
        <f t="shared" si="16"/>
        <v>Non renseigné</v>
      </c>
      <c r="M151" s="736" t="str">
        <f t="shared" si="12"/>
        <v>-</v>
      </c>
      <c r="N151" s="822" t="e">
        <f t="shared" si="13"/>
        <v>#VALUE!</v>
      </c>
      <c r="O151" s="733" t="e">
        <f t="shared" si="27"/>
        <v>#VALUE!</v>
      </c>
      <c r="P151" s="822" t="e">
        <f t="shared" si="28"/>
        <v>#VALUE!</v>
      </c>
      <c r="Q151" s="823"/>
      <c r="R151" s="942"/>
      <c r="S151" s="402" t="e">
        <f t="shared" si="29"/>
        <v>#VALUE!</v>
      </c>
      <c r="T151" s="402" t="e">
        <f t="shared" si="30"/>
        <v>#VALUE!</v>
      </c>
      <c r="U151" s="402" t="e">
        <f t="shared" si="31"/>
        <v>#VALUE!</v>
      </c>
      <c r="V151" s="402" t="e">
        <f t="shared" si="32"/>
        <v>#VALUE!</v>
      </c>
      <c r="W151" s="402" t="e">
        <f t="shared" si="33"/>
        <v>#VALUE!</v>
      </c>
      <c r="X151" s="402" t="e">
        <f t="shared" si="34"/>
        <v>#VALUE!</v>
      </c>
      <c r="Y151" s="402" t="e">
        <f t="shared" si="35"/>
        <v>#VALUE!</v>
      </c>
      <c r="Z151" s="402" t="e">
        <f t="shared" si="36"/>
        <v>#VALUE!</v>
      </c>
      <c r="AA151" s="402" t="e">
        <f t="shared" si="37"/>
        <v>#VALUE!</v>
      </c>
      <c r="AB151" s="669" t="e">
        <f t="shared" si="38"/>
        <v>#VALUE!</v>
      </c>
      <c r="AC151" s="403"/>
    </row>
    <row r="152" spans="2:29" s="121" customFormat="1" outlineLevel="1">
      <c r="B152" s="1167"/>
      <c r="C152" s="1168"/>
      <c r="D152" s="1750" t="s">
        <v>290</v>
      </c>
      <c r="E152" s="1751"/>
      <c r="F152" s="1751"/>
      <c r="G152" s="1752"/>
      <c r="H152" s="835"/>
      <c r="I152" s="1327" t="e">
        <f t="shared" si="0"/>
        <v>#DIV/0!</v>
      </c>
      <c r="J152" s="736" t="s">
        <v>365</v>
      </c>
      <c r="K152" s="736" t="s">
        <v>365</v>
      </c>
      <c r="L152" s="1330" t="str">
        <f t="shared" si="16"/>
        <v>Non renseigné</v>
      </c>
      <c r="M152" s="736" t="str">
        <f t="shared" si="12"/>
        <v>-</v>
      </c>
      <c r="N152" s="822" t="e">
        <f t="shared" si="13"/>
        <v>#VALUE!</v>
      </c>
      <c r="O152" s="733" t="e">
        <f t="shared" si="27"/>
        <v>#VALUE!</v>
      </c>
      <c r="P152" s="822" t="e">
        <f t="shared" si="28"/>
        <v>#VALUE!</v>
      </c>
      <c r="Q152" s="823"/>
      <c r="R152" s="942"/>
      <c r="S152" s="402" t="e">
        <f t="shared" si="29"/>
        <v>#VALUE!</v>
      </c>
      <c r="T152" s="402" t="e">
        <f t="shared" si="30"/>
        <v>#VALUE!</v>
      </c>
      <c r="U152" s="402" t="e">
        <f t="shared" si="31"/>
        <v>#VALUE!</v>
      </c>
      <c r="V152" s="402" t="e">
        <f t="shared" si="32"/>
        <v>#VALUE!</v>
      </c>
      <c r="W152" s="402" t="e">
        <f t="shared" si="33"/>
        <v>#VALUE!</v>
      </c>
      <c r="X152" s="402" t="e">
        <f t="shared" si="34"/>
        <v>#VALUE!</v>
      </c>
      <c r="Y152" s="402" t="e">
        <f t="shared" si="35"/>
        <v>#VALUE!</v>
      </c>
      <c r="Z152" s="402" t="e">
        <f t="shared" si="36"/>
        <v>#VALUE!</v>
      </c>
      <c r="AA152" s="402" t="e">
        <f t="shared" si="37"/>
        <v>#VALUE!</v>
      </c>
      <c r="AB152" s="669" t="e">
        <f t="shared" si="38"/>
        <v>#VALUE!</v>
      </c>
      <c r="AC152" s="403"/>
    </row>
    <row r="153" spans="2:29" s="121" customFormat="1" outlineLevel="1">
      <c r="B153" s="1167"/>
      <c r="C153" s="1168"/>
      <c r="D153" s="1750" t="s">
        <v>290</v>
      </c>
      <c r="E153" s="1751"/>
      <c r="F153" s="1751"/>
      <c r="G153" s="1752"/>
      <c r="H153" s="835"/>
      <c r="I153" s="1327" t="e">
        <f t="shared" ref="I153:I229" si="39">H153*(1/Q153)</f>
        <v>#DIV/0!</v>
      </c>
      <c r="J153" s="736" t="s">
        <v>365</v>
      </c>
      <c r="K153" s="736" t="s">
        <v>365</v>
      </c>
      <c r="L153" s="1330" t="str">
        <f t="shared" ref="L153:L229" si="40">IF(D153="Bâtiments avec mise en service N+1",J153+1,J153)</f>
        <v>Non renseigné</v>
      </c>
      <c r="M153" s="736" t="str">
        <f t="shared" ref="M153:M229" si="41">VLOOKUP(K153,$AD$14:$AE$27,2,FALSE)</f>
        <v>-</v>
      </c>
      <c r="N153" s="822" t="e">
        <f t="shared" ref="N153:N229" si="42">H153*(M153/12)*(1/Q153)</f>
        <v>#VALUE!</v>
      </c>
      <c r="O153" s="733" t="e">
        <f t="shared" ref="O153:O229" si="43">12-M153</f>
        <v>#VALUE!</v>
      </c>
      <c r="P153" s="822" t="e">
        <f t="shared" ref="P153:P229" si="44">H153*(O153/12)*(1/Q153)</f>
        <v>#VALUE!</v>
      </c>
      <c r="Q153" s="823"/>
      <c r="R153" s="942"/>
      <c r="S153" s="402" t="e">
        <f t="shared" si="17"/>
        <v>#VALUE!</v>
      </c>
      <c r="T153" s="402" t="e">
        <f t="shared" si="18"/>
        <v>#VALUE!</v>
      </c>
      <c r="U153" s="402" t="e">
        <f t="shared" si="19"/>
        <v>#VALUE!</v>
      </c>
      <c r="V153" s="402" t="e">
        <f t="shared" si="20"/>
        <v>#VALUE!</v>
      </c>
      <c r="W153" s="402" t="e">
        <f t="shared" si="21"/>
        <v>#VALUE!</v>
      </c>
      <c r="X153" s="402" t="e">
        <f t="shared" si="22"/>
        <v>#VALUE!</v>
      </c>
      <c r="Y153" s="402" t="e">
        <f t="shared" si="23"/>
        <v>#VALUE!</v>
      </c>
      <c r="Z153" s="402" t="e">
        <f t="shared" si="24"/>
        <v>#VALUE!</v>
      </c>
      <c r="AA153" s="402" t="e">
        <f t="shared" si="25"/>
        <v>#VALUE!</v>
      </c>
      <c r="AB153" s="669" t="e">
        <f t="shared" si="26"/>
        <v>#VALUE!</v>
      </c>
      <c r="AC153" s="403"/>
    </row>
    <row r="154" spans="2:29" s="121" customFormat="1" outlineLevel="1">
      <c r="B154" s="1167"/>
      <c r="C154" s="1168"/>
      <c r="D154" s="1750" t="s">
        <v>290</v>
      </c>
      <c r="E154" s="1751"/>
      <c r="F154" s="1751"/>
      <c r="G154" s="1752"/>
      <c r="H154" s="835"/>
      <c r="I154" s="1327" t="e">
        <f t="shared" si="39"/>
        <v>#DIV/0!</v>
      </c>
      <c r="J154" s="736" t="s">
        <v>365</v>
      </c>
      <c r="K154" s="736" t="s">
        <v>365</v>
      </c>
      <c r="L154" s="1330" t="str">
        <f t="shared" si="40"/>
        <v>Non renseigné</v>
      </c>
      <c r="M154" s="736" t="str">
        <f t="shared" si="41"/>
        <v>-</v>
      </c>
      <c r="N154" s="822" t="e">
        <f t="shared" si="42"/>
        <v>#VALUE!</v>
      </c>
      <c r="O154" s="733" t="e">
        <f t="shared" si="43"/>
        <v>#VALUE!</v>
      </c>
      <c r="P154" s="822" t="e">
        <f t="shared" si="44"/>
        <v>#VALUE!</v>
      </c>
      <c r="Q154" s="823"/>
      <c r="R154" s="942"/>
      <c r="S154" s="402" t="e">
        <f t="shared" si="17"/>
        <v>#VALUE!</v>
      </c>
      <c r="T154" s="402" t="e">
        <f t="shared" si="18"/>
        <v>#VALUE!</v>
      </c>
      <c r="U154" s="402" t="e">
        <f t="shared" si="19"/>
        <v>#VALUE!</v>
      </c>
      <c r="V154" s="402" t="e">
        <f t="shared" si="20"/>
        <v>#VALUE!</v>
      </c>
      <c r="W154" s="402" t="e">
        <f t="shared" si="21"/>
        <v>#VALUE!</v>
      </c>
      <c r="X154" s="402" t="e">
        <f t="shared" si="22"/>
        <v>#VALUE!</v>
      </c>
      <c r="Y154" s="402" t="e">
        <f t="shared" si="23"/>
        <v>#VALUE!</v>
      </c>
      <c r="Z154" s="402" t="e">
        <f t="shared" si="24"/>
        <v>#VALUE!</v>
      </c>
      <c r="AA154" s="402" t="e">
        <f t="shared" si="25"/>
        <v>#VALUE!</v>
      </c>
      <c r="AB154" s="669" t="e">
        <f t="shared" si="26"/>
        <v>#VALUE!</v>
      </c>
      <c r="AC154" s="403"/>
    </row>
    <row r="155" spans="2:29" s="121" customFormat="1" outlineLevel="1">
      <c r="B155" s="1167"/>
      <c r="C155" s="1168"/>
      <c r="D155" s="1750" t="s">
        <v>290</v>
      </c>
      <c r="E155" s="1751"/>
      <c r="F155" s="1751"/>
      <c r="G155" s="1752"/>
      <c r="H155" s="835"/>
      <c r="I155" s="1327" t="e">
        <f t="shared" si="39"/>
        <v>#DIV/0!</v>
      </c>
      <c r="J155" s="736" t="s">
        <v>365</v>
      </c>
      <c r="K155" s="736" t="s">
        <v>365</v>
      </c>
      <c r="L155" s="1330" t="str">
        <f t="shared" si="40"/>
        <v>Non renseigné</v>
      </c>
      <c r="M155" s="736" t="str">
        <f t="shared" si="41"/>
        <v>-</v>
      </c>
      <c r="N155" s="822" t="e">
        <f t="shared" si="42"/>
        <v>#VALUE!</v>
      </c>
      <c r="O155" s="733" t="e">
        <f t="shared" si="43"/>
        <v>#VALUE!</v>
      </c>
      <c r="P155" s="822" t="e">
        <f t="shared" si="44"/>
        <v>#VALUE!</v>
      </c>
      <c r="Q155" s="823"/>
      <c r="R155" s="942"/>
      <c r="S155" s="402" t="e">
        <f t="shared" si="17"/>
        <v>#VALUE!</v>
      </c>
      <c r="T155" s="402" t="e">
        <f t="shared" si="18"/>
        <v>#VALUE!</v>
      </c>
      <c r="U155" s="402" t="e">
        <f t="shared" si="19"/>
        <v>#VALUE!</v>
      </c>
      <c r="V155" s="402" t="e">
        <f t="shared" si="20"/>
        <v>#VALUE!</v>
      </c>
      <c r="W155" s="402" t="e">
        <f t="shared" si="21"/>
        <v>#VALUE!</v>
      </c>
      <c r="X155" s="402" t="e">
        <f t="shared" si="22"/>
        <v>#VALUE!</v>
      </c>
      <c r="Y155" s="402" t="e">
        <f t="shared" si="23"/>
        <v>#VALUE!</v>
      </c>
      <c r="Z155" s="402" t="e">
        <f t="shared" si="24"/>
        <v>#VALUE!</v>
      </c>
      <c r="AA155" s="402" t="e">
        <f t="shared" si="25"/>
        <v>#VALUE!</v>
      </c>
      <c r="AB155" s="669" t="e">
        <f t="shared" si="26"/>
        <v>#VALUE!</v>
      </c>
      <c r="AC155" s="403"/>
    </row>
    <row r="156" spans="2:29" s="121" customFormat="1" outlineLevel="1">
      <c r="B156" s="1167"/>
      <c r="C156" s="1168"/>
      <c r="D156" s="1750" t="s">
        <v>290</v>
      </c>
      <c r="E156" s="1751"/>
      <c r="F156" s="1751"/>
      <c r="G156" s="1752"/>
      <c r="H156" s="835"/>
      <c r="I156" s="1327" t="e">
        <f t="shared" si="39"/>
        <v>#DIV/0!</v>
      </c>
      <c r="J156" s="736" t="s">
        <v>365</v>
      </c>
      <c r="K156" s="736" t="s">
        <v>365</v>
      </c>
      <c r="L156" s="1330" t="str">
        <f t="shared" si="40"/>
        <v>Non renseigné</v>
      </c>
      <c r="M156" s="736" t="str">
        <f t="shared" si="41"/>
        <v>-</v>
      </c>
      <c r="N156" s="822" t="e">
        <f t="shared" si="42"/>
        <v>#VALUE!</v>
      </c>
      <c r="O156" s="733" t="e">
        <f t="shared" si="43"/>
        <v>#VALUE!</v>
      </c>
      <c r="P156" s="822" t="e">
        <f t="shared" si="44"/>
        <v>#VALUE!</v>
      </c>
      <c r="Q156" s="823"/>
      <c r="R156" s="942"/>
      <c r="S156" s="402" t="e">
        <f t="shared" si="17"/>
        <v>#VALUE!</v>
      </c>
      <c r="T156" s="402" t="e">
        <f t="shared" si="18"/>
        <v>#VALUE!</v>
      </c>
      <c r="U156" s="402" t="e">
        <f t="shared" si="19"/>
        <v>#VALUE!</v>
      </c>
      <c r="V156" s="402" t="e">
        <f t="shared" si="20"/>
        <v>#VALUE!</v>
      </c>
      <c r="W156" s="402" t="e">
        <f t="shared" si="21"/>
        <v>#VALUE!</v>
      </c>
      <c r="X156" s="402" t="e">
        <f t="shared" si="22"/>
        <v>#VALUE!</v>
      </c>
      <c r="Y156" s="402" t="e">
        <f t="shared" si="23"/>
        <v>#VALUE!</v>
      </c>
      <c r="Z156" s="402" t="e">
        <f t="shared" si="24"/>
        <v>#VALUE!</v>
      </c>
      <c r="AA156" s="402" t="e">
        <f t="shared" si="25"/>
        <v>#VALUE!</v>
      </c>
      <c r="AB156" s="669" t="e">
        <f t="shared" si="26"/>
        <v>#VALUE!</v>
      </c>
      <c r="AC156" s="403"/>
    </row>
    <row r="157" spans="2:29" s="121" customFormat="1" outlineLevel="1">
      <c r="B157" s="1167"/>
      <c r="C157" s="1168"/>
      <c r="D157" s="1750" t="s">
        <v>290</v>
      </c>
      <c r="E157" s="1751"/>
      <c r="F157" s="1751"/>
      <c r="G157" s="1752"/>
      <c r="H157" s="835"/>
      <c r="I157" s="1327" t="e">
        <f t="shared" si="39"/>
        <v>#DIV/0!</v>
      </c>
      <c r="J157" s="736" t="s">
        <v>365</v>
      </c>
      <c r="K157" s="736" t="s">
        <v>365</v>
      </c>
      <c r="L157" s="1330" t="str">
        <f t="shared" si="40"/>
        <v>Non renseigné</v>
      </c>
      <c r="M157" s="736" t="str">
        <f t="shared" si="41"/>
        <v>-</v>
      </c>
      <c r="N157" s="822" t="e">
        <f t="shared" si="42"/>
        <v>#VALUE!</v>
      </c>
      <c r="O157" s="733" t="e">
        <f t="shared" si="43"/>
        <v>#VALUE!</v>
      </c>
      <c r="P157" s="822" t="e">
        <f t="shared" si="44"/>
        <v>#VALUE!</v>
      </c>
      <c r="Q157" s="823"/>
      <c r="R157" s="942"/>
      <c r="S157" s="402" t="e">
        <f t="shared" si="17"/>
        <v>#VALUE!</v>
      </c>
      <c r="T157" s="402" t="e">
        <f t="shared" si="18"/>
        <v>#VALUE!</v>
      </c>
      <c r="U157" s="402" t="e">
        <f t="shared" si="19"/>
        <v>#VALUE!</v>
      </c>
      <c r="V157" s="402" t="e">
        <f t="shared" si="20"/>
        <v>#VALUE!</v>
      </c>
      <c r="W157" s="402" t="e">
        <f t="shared" si="21"/>
        <v>#VALUE!</v>
      </c>
      <c r="X157" s="402" t="e">
        <f t="shared" si="22"/>
        <v>#VALUE!</v>
      </c>
      <c r="Y157" s="402" t="e">
        <f t="shared" si="23"/>
        <v>#VALUE!</v>
      </c>
      <c r="Z157" s="402" t="e">
        <f t="shared" si="24"/>
        <v>#VALUE!</v>
      </c>
      <c r="AA157" s="402" t="e">
        <f t="shared" si="25"/>
        <v>#VALUE!</v>
      </c>
      <c r="AB157" s="669" t="e">
        <f t="shared" si="26"/>
        <v>#VALUE!</v>
      </c>
      <c r="AC157" s="403"/>
    </row>
    <row r="158" spans="2:29" s="121" customFormat="1" outlineLevel="1">
      <c r="B158" s="1167"/>
      <c r="C158" s="1168"/>
      <c r="D158" s="1750" t="s">
        <v>290</v>
      </c>
      <c r="E158" s="1751"/>
      <c r="F158" s="1751"/>
      <c r="G158" s="1752"/>
      <c r="H158" s="835"/>
      <c r="I158" s="1327" t="e">
        <f t="shared" si="39"/>
        <v>#DIV/0!</v>
      </c>
      <c r="J158" s="736" t="s">
        <v>365</v>
      </c>
      <c r="K158" s="736" t="s">
        <v>365</v>
      </c>
      <c r="L158" s="1330" t="str">
        <f t="shared" si="40"/>
        <v>Non renseigné</v>
      </c>
      <c r="M158" s="736" t="str">
        <f t="shared" si="41"/>
        <v>-</v>
      </c>
      <c r="N158" s="822" t="e">
        <f t="shared" si="42"/>
        <v>#VALUE!</v>
      </c>
      <c r="O158" s="733" t="e">
        <f t="shared" si="43"/>
        <v>#VALUE!</v>
      </c>
      <c r="P158" s="822" t="e">
        <f t="shared" si="44"/>
        <v>#VALUE!</v>
      </c>
      <c r="Q158" s="823"/>
      <c r="R158" s="942"/>
      <c r="S158" s="402" t="e">
        <f t="shared" si="17"/>
        <v>#VALUE!</v>
      </c>
      <c r="T158" s="402" t="e">
        <f t="shared" si="18"/>
        <v>#VALUE!</v>
      </c>
      <c r="U158" s="402" t="e">
        <f t="shared" si="19"/>
        <v>#VALUE!</v>
      </c>
      <c r="V158" s="402" t="e">
        <f t="shared" si="20"/>
        <v>#VALUE!</v>
      </c>
      <c r="W158" s="402" t="e">
        <f t="shared" si="21"/>
        <v>#VALUE!</v>
      </c>
      <c r="X158" s="402" t="e">
        <f t="shared" si="22"/>
        <v>#VALUE!</v>
      </c>
      <c r="Y158" s="402" t="e">
        <f t="shared" si="23"/>
        <v>#VALUE!</v>
      </c>
      <c r="Z158" s="402" t="e">
        <f t="shared" si="24"/>
        <v>#VALUE!</v>
      </c>
      <c r="AA158" s="402" t="e">
        <f t="shared" si="25"/>
        <v>#VALUE!</v>
      </c>
      <c r="AB158" s="669" t="e">
        <f t="shared" si="26"/>
        <v>#VALUE!</v>
      </c>
      <c r="AC158" s="403"/>
    </row>
    <row r="159" spans="2:29" s="121" customFormat="1" outlineLevel="1">
      <c r="B159" s="1167"/>
      <c r="C159" s="1168"/>
      <c r="D159" s="1750" t="s">
        <v>290</v>
      </c>
      <c r="E159" s="1751"/>
      <c r="F159" s="1751"/>
      <c r="G159" s="1752"/>
      <c r="H159" s="835"/>
      <c r="I159" s="1327" t="e">
        <f t="shared" si="39"/>
        <v>#DIV/0!</v>
      </c>
      <c r="J159" s="736" t="s">
        <v>365</v>
      </c>
      <c r="K159" s="736" t="s">
        <v>365</v>
      </c>
      <c r="L159" s="1330" t="str">
        <f t="shared" si="40"/>
        <v>Non renseigné</v>
      </c>
      <c r="M159" s="736" t="str">
        <f t="shared" si="41"/>
        <v>-</v>
      </c>
      <c r="N159" s="822" t="e">
        <f t="shared" si="42"/>
        <v>#VALUE!</v>
      </c>
      <c r="O159" s="733" t="e">
        <f t="shared" si="43"/>
        <v>#VALUE!</v>
      </c>
      <c r="P159" s="822" t="e">
        <f t="shared" si="44"/>
        <v>#VALUE!</v>
      </c>
      <c r="Q159" s="823"/>
      <c r="R159" s="942"/>
      <c r="S159" s="402" t="e">
        <f t="shared" si="17"/>
        <v>#VALUE!</v>
      </c>
      <c r="T159" s="402" t="e">
        <f t="shared" si="18"/>
        <v>#VALUE!</v>
      </c>
      <c r="U159" s="402" t="e">
        <f t="shared" si="19"/>
        <v>#VALUE!</v>
      </c>
      <c r="V159" s="402" t="e">
        <f t="shared" si="20"/>
        <v>#VALUE!</v>
      </c>
      <c r="W159" s="402" t="e">
        <f t="shared" si="21"/>
        <v>#VALUE!</v>
      </c>
      <c r="X159" s="402" t="e">
        <f t="shared" si="22"/>
        <v>#VALUE!</v>
      </c>
      <c r="Y159" s="402" t="e">
        <f t="shared" si="23"/>
        <v>#VALUE!</v>
      </c>
      <c r="Z159" s="402" t="e">
        <f t="shared" si="24"/>
        <v>#VALUE!</v>
      </c>
      <c r="AA159" s="402" t="e">
        <f t="shared" si="25"/>
        <v>#VALUE!</v>
      </c>
      <c r="AB159" s="669" t="e">
        <f t="shared" si="26"/>
        <v>#VALUE!</v>
      </c>
      <c r="AC159" s="403"/>
    </row>
    <row r="160" spans="2:29" s="121" customFormat="1" outlineLevel="1">
      <c r="B160" s="1167"/>
      <c r="C160" s="1168"/>
      <c r="D160" s="1750" t="s">
        <v>290</v>
      </c>
      <c r="E160" s="1751"/>
      <c r="F160" s="1751"/>
      <c r="G160" s="1752"/>
      <c r="H160" s="835"/>
      <c r="I160" s="1327" t="e">
        <f t="shared" si="39"/>
        <v>#DIV/0!</v>
      </c>
      <c r="J160" s="736" t="s">
        <v>365</v>
      </c>
      <c r="K160" s="736" t="s">
        <v>365</v>
      </c>
      <c r="L160" s="1330" t="str">
        <f t="shared" si="40"/>
        <v>Non renseigné</v>
      </c>
      <c r="M160" s="736" t="str">
        <f t="shared" si="41"/>
        <v>-</v>
      </c>
      <c r="N160" s="822" t="e">
        <f t="shared" si="42"/>
        <v>#VALUE!</v>
      </c>
      <c r="O160" s="733" t="e">
        <f t="shared" si="43"/>
        <v>#VALUE!</v>
      </c>
      <c r="P160" s="822" t="e">
        <f t="shared" si="44"/>
        <v>#VALUE!</v>
      </c>
      <c r="Q160" s="823"/>
      <c r="R160" s="942"/>
      <c r="S160" s="402" t="e">
        <f t="shared" si="17"/>
        <v>#VALUE!</v>
      </c>
      <c r="T160" s="402" t="e">
        <f t="shared" si="18"/>
        <v>#VALUE!</v>
      </c>
      <c r="U160" s="402" t="e">
        <f t="shared" si="19"/>
        <v>#VALUE!</v>
      </c>
      <c r="V160" s="402" t="e">
        <f t="shared" si="20"/>
        <v>#VALUE!</v>
      </c>
      <c r="W160" s="402" t="e">
        <f t="shared" si="21"/>
        <v>#VALUE!</v>
      </c>
      <c r="X160" s="402" t="e">
        <f t="shared" si="22"/>
        <v>#VALUE!</v>
      </c>
      <c r="Y160" s="402" t="e">
        <f t="shared" si="23"/>
        <v>#VALUE!</v>
      </c>
      <c r="Z160" s="402" t="e">
        <f t="shared" si="24"/>
        <v>#VALUE!</v>
      </c>
      <c r="AA160" s="402" t="e">
        <f t="shared" si="25"/>
        <v>#VALUE!</v>
      </c>
      <c r="AB160" s="669" t="e">
        <f t="shared" si="26"/>
        <v>#VALUE!</v>
      </c>
      <c r="AC160" s="403"/>
    </row>
    <row r="161" spans="2:29" s="121" customFormat="1" outlineLevel="1">
      <c r="B161" s="1167"/>
      <c r="C161" s="1168"/>
      <c r="D161" s="1750" t="s">
        <v>290</v>
      </c>
      <c r="E161" s="1751"/>
      <c r="F161" s="1751"/>
      <c r="G161" s="1752"/>
      <c r="H161" s="835"/>
      <c r="I161" s="1327" t="e">
        <f t="shared" si="39"/>
        <v>#DIV/0!</v>
      </c>
      <c r="J161" s="736" t="s">
        <v>365</v>
      </c>
      <c r="K161" s="736" t="s">
        <v>365</v>
      </c>
      <c r="L161" s="1330" t="str">
        <f t="shared" si="40"/>
        <v>Non renseigné</v>
      </c>
      <c r="M161" s="736" t="str">
        <f t="shared" si="41"/>
        <v>-</v>
      </c>
      <c r="N161" s="822" t="e">
        <f t="shared" si="42"/>
        <v>#VALUE!</v>
      </c>
      <c r="O161" s="733" t="e">
        <f t="shared" si="43"/>
        <v>#VALUE!</v>
      </c>
      <c r="P161" s="822" t="e">
        <f t="shared" si="44"/>
        <v>#VALUE!</v>
      </c>
      <c r="Q161" s="823"/>
      <c r="R161" s="942"/>
      <c r="S161" s="402" t="e">
        <f t="shared" si="17"/>
        <v>#VALUE!</v>
      </c>
      <c r="T161" s="402" t="e">
        <f t="shared" si="18"/>
        <v>#VALUE!</v>
      </c>
      <c r="U161" s="402" t="e">
        <f t="shared" si="19"/>
        <v>#VALUE!</v>
      </c>
      <c r="V161" s="402" t="e">
        <f t="shared" si="20"/>
        <v>#VALUE!</v>
      </c>
      <c r="W161" s="402" t="e">
        <f t="shared" si="21"/>
        <v>#VALUE!</v>
      </c>
      <c r="X161" s="402" t="e">
        <f t="shared" si="22"/>
        <v>#VALUE!</v>
      </c>
      <c r="Y161" s="402" t="e">
        <f t="shared" si="23"/>
        <v>#VALUE!</v>
      </c>
      <c r="Z161" s="402" t="e">
        <f t="shared" si="24"/>
        <v>#VALUE!</v>
      </c>
      <c r="AA161" s="402" t="e">
        <f t="shared" si="25"/>
        <v>#VALUE!</v>
      </c>
      <c r="AB161" s="669" t="e">
        <f t="shared" si="26"/>
        <v>#VALUE!</v>
      </c>
      <c r="AC161" s="403"/>
    </row>
    <row r="162" spans="2:29" s="121" customFormat="1" outlineLevel="1">
      <c r="B162" s="1167"/>
      <c r="C162" s="1168"/>
      <c r="D162" s="1750" t="s">
        <v>290</v>
      </c>
      <c r="E162" s="1751"/>
      <c r="F162" s="1751"/>
      <c r="G162" s="1752"/>
      <c r="H162" s="835"/>
      <c r="I162" s="1327" t="e">
        <f t="shared" si="39"/>
        <v>#DIV/0!</v>
      </c>
      <c r="J162" s="736" t="s">
        <v>365</v>
      </c>
      <c r="K162" s="736" t="s">
        <v>365</v>
      </c>
      <c r="L162" s="1330" t="str">
        <f t="shared" si="40"/>
        <v>Non renseigné</v>
      </c>
      <c r="M162" s="736" t="str">
        <f t="shared" si="41"/>
        <v>-</v>
      </c>
      <c r="N162" s="822" t="e">
        <f t="shared" si="42"/>
        <v>#VALUE!</v>
      </c>
      <c r="O162" s="733" t="e">
        <f t="shared" si="43"/>
        <v>#VALUE!</v>
      </c>
      <c r="P162" s="822" t="e">
        <f t="shared" si="44"/>
        <v>#VALUE!</v>
      </c>
      <c r="Q162" s="823"/>
      <c r="R162" s="942"/>
      <c r="S162" s="402" t="e">
        <f t="shared" si="17"/>
        <v>#VALUE!</v>
      </c>
      <c r="T162" s="402" t="e">
        <f t="shared" si="18"/>
        <v>#VALUE!</v>
      </c>
      <c r="U162" s="402" t="e">
        <f t="shared" si="19"/>
        <v>#VALUE!</v>
      </c>
      <c r="V162" s="402" t="e">
        <f t="shared" si="20"/>
        <v>#VALUE!</v>
      </c>
      <c r="W162" s="402" t="e">
        <f t="shared" si="21"/>
        <v>#VALUE!</v>
      </c>
      <c r="X162" s="402" t="e">
        <f t="shared" si="22"/>
        <v>#VALUE!</v>
      </c>
      <c r="Y162" s="402" t="e">
        <f t="shared" si="23"/>
        <v>#VALUE!</v>
      </c>
      <c r="Z162" s="402" t="e">
        <f t="shared" si="24"/>
        <v>#VALUE!</v>
      </c>
      <c r="AA162" s="402" t="e">
        <f t="shared" si="25"/>
        <v>#VALUE!</v>
      </c>
      <c r="AB162" s="669" t="e">
        <f t="shared" si="26"/>
        <v>#VALUE!</v>
      </c>
      <c r="AC162" s="403"/>
    </row>
    <row r="163" spans="2:29" s="121" customFormat="1" outlineLevel="1">
      <c r="B163" s="1167"/>
      <c r="C163" s="1168"/>
      <c r="D163" s="1750" t="s">
        <v>290</v>
      </c>
      <c r="E163" s="1751"/>
      <c r="F163" s="1751"/>
      <c r="G163" s="1752"/>
      <c r="H163" s="835"/>
      <c r="I163" s="1327" t="e">
        <f t="shared" si="39"/>
        <v>#DIV/0!</v>
      </c>
      <c r="J163" s="736" t="s">
        <v>365</v>
      </c>
      <c r="K163" s="736" t="s">
        <v>365</v>
      </c>
      <c r="L163" s="1330" t="str">
        <f t="shared" si="40"/>
        <v>Non renseigné</v>
      </c>
      <c r="M163" s="736" t="str">
        <f t="shared" si="41"/>
        <v>-</v>
      </c>
      <c r="N163" s="822" t="e">
        <f t="shared" si="42"/>
        <v>#VALUE!</v>
      </c>
      <c r="O163" s="733" t="e">
        <f t="shared" si="43"/>
        <v>#VALUE!</v>
      </c>
      <c r="P163" s="822" t="e">
        <f t="shared" si="44"/>
        <v>#VALUE!</v>
      </c>
      <c r="Q163" s="823"/>
      <c r="R163" s="942"/>
      <c r="S163" s="402" t="e">
        <f t="shared" si="17"/>
        <v>#VALUE!</v>
      </c>
      <c r="T163" s="402" t="e">
        <f t="shared" si="18"/>
        <v>#VALUE!</v>
      </c>
      <c r="U163" s="402" t="e">
        <f t="shared" si="19"/>
        <v>#VALUE!</v>
      </c>
      <c r="V163" s="402" t="e">
        <f t="shared" si="20"/>
        <v>#VALUE!</v>
      </c>
      <c r="W163" s="402" t="e">
        <f t="shared" si="21"/>
        <v>#VALUE!</v>
      </c>
      <c r="X163" s="402" t="e">
        <f t="shared" si="22"/>
        <v>#VALUE!</v>
      </c>
      <c r="Y163" s="402" t="e">
        <f t="shared" si="23"/>
        <v>#VALUE!</v>
      </c>
      <c r="Z163" s="402" t="e">
        <f t="shared" si="24"/>
        <v>#VALUE!</v>
      </c>
      <c r="AA163" s="402" t="e">
        <f t="shared" si="25"/>
        <v>#VALUE!</v>
      </c>
      <c r="AB163" s="669" t="e">
        <f t="shared" si="26"/>
        <v>#VALUE!</v>
      </c>
      <c r="AC163" s="403"/>
    </row>
    <row r="164" spans="2:29" s="121" customFormat="1" outlineLevel="1">
      <c r="B164" s="1167"/>
      <c r="C164" s="1168"/>
      <c r="D164" s="1750" t="s">
        <v>290</v>
      </c>
      <c r="E164" s="1751"/>
      <c r="F164" s="1751"/>
      <c r="G164" s="1752"/>
      <c r="H164" s="835"/>
      <c r="I164" s="1327" t="e">
        <f t="shared" si="39"/>
        <v>#DIV/0!</v>
      </c>
      <c r="J164" s="736" t="s">
        <v>365</v>
      </c>
      <c r="K164" s="736" t="s">
        <v>365</v>
      </c>
      <c r="L164" s="1330" t="str">
        <f t="shared" si="40"/>
        <v>Non renseigné</v>
      </c>
      <c r="M164" s="736" t="str">
        <f t="shared" si="41"/>
        <v>-</v>
      </c>
      <c r="N164" s="822" t="e">
        <f t="shared" si="42"/>
        <v>#VALUE!</v>
      </c>
      <c r="O164" s="733" t="e">
        <f t="shared" si="43"/>
        <v>#VALUE!</v>
      </c>
      <c r="P164" s="822" t="e">
        <f t="shared" si="44"/>
        <v>#VALUE!</v>
      </c>
      <c r="Q164" s="823"/>
      <c r="R164" s="942"/>
      <c r="S164" s="402" t="e">
        <f t="shared" si="17"/>
        <v>#VALUE!</v>
      </c>
      <c r="T164" s="402" t="e">
        <f t="shared" si="18"/>
        <v>#VALUE!</v>
      </c>
      <c r="U164" s="402" t="e">
        <f t="shared" si="19"/>
        <v>#VALUE!</v>
      </c>
      <c r="V164" s="402" t="e">
        <f t="shared" si="20"/>
        <v>#VALUE!</v>
      </c>
      <c r="W164" s="402" t="e">
        <f t="shared" si="21"/>
        <v>#VALUE!</v>
      </c>
      <c r="X164" s="402" t="e">
        <f t="shared" si="22"/>
        <v>#VALUE!</v>
      </c>
      <c r="Y164" s="402" t="e">
        <f t="shared" si="23"/>
        <v>#VALUE!</v>
      </c>
      <c r="Z164" s="402" t="e">
        <f t="shared" si="24"/>
        <v>#VALUE!</v>
      </c>
      <c r="AA164" s="402" t="e">
        <f t="shared" si="25"/>
        <v>#VALUE!</v>
      </c>
      <c r="AB164" s="669" t="e">
        <f t="shared" si="26"/>
        <v>#VALUE!</v>
      </c>
      <c r="AC164" s="403"/>
    </row>
    <row r="165" spans="2:29" s="121" customFormat="1" outlineLevel="1">
      <c r="B165" s="1167"/>
      <c r="C165" s="1168"/>
      <c r="D165" s="1750" t="s">
        <v>290</v>
      </c>
      <c r="E165" s="1751"/>
      <c r="F165" s="1751"/>
      <c r="G165" s="1752"/>
      <c r="H165" s="835"/>
      <c r="I165" s="1327" t="e">
        <f t="shared" si="39"/>
        <v>#DIV/0!</v>
      </c>
      <c r="J165" s="736" t="s">
        <v>365</v>
      </c>
      <c r="K165" s="736" t="s">
        <v>365</v>
      </c>
      <c r="L165" s="1330" t="str">
        <f t="shared" si="40"/>
        <v>Non renseigné</v>
      </c>
      <c r="M165" s="736" t="str">
        <f t="shared" si="41"/>
        <v>-</v>
      </c>
      <c r="N165" s="822" t="e">
        <f t="shared" si="42"/>
        <v>#VALUE!</v>
      </c>
      <c r="O165" s="733" t="e">
        <f t="shared" si="43"/>
        <v>#VALUE!</v>
      </c>
      <c r="P165" s="822" t="e">
        <f t="shared" si="44"/>
        <v>#VALUE!</v>
      </c>
      <c r="Q165" s="823"/>
      <c r="R165" s="942"/>
      <c r="S165" s="402" t="e">
        <f t="shared" si="17"/>
        <v>#VALUE!</v>
      </c>
      <c r="T165" s="402" t="e">
        <f t="shared" si="18"/>
        <v>#VALUE!</v>
      </c>
      <c r="U165" s="402" t="e">
        <f t="shared" si="19"/>
        <v>#VALUE!</v>
      </c>
      <c r="V165" s="402" t="e">
        <f t="shared" si="20"/>
        <v>#VALUE!</v>
      </c>
      <c r="W165" s="402" t="e">
        <f t="shared" si="21"/>
        <v>#VALUE!</v>
      </c>
      <c r="X165" s="402" t="e">
        <f t="shared" si="22"/>
        <v>#VALUE!</v>
      </c>
      <c r="Y165" s="402" t="e">
        <f t="shared" si="23"/>
        <v>#VALUE!</v>
      </c>
      <c r="Z165" s="402" t="e">
        <f t="shared" si="24"/>
        <v>#VALUE!</v>
      </c>
      <c r="AA165" s="402" t="e">
        <f t="shared" si="25"/>
        <v>#VALUE!</v>
      </c>
      <c r="AB165" s="669" t="e">
        <f t="shared" si="26"/>
        <v>#VALUE!</v>
      </c>
      <c r="AC165" s="403"/>
    </row>
    <row r="166" spans="2:29" s="121" customFormat="1" outlineLevel="1">
      <c r="B166" s="1167"/>
      <c r="C166" s="1168"/>
      <c r="D166" s="1750" t="s">
        <v>290</v>
      </c>
      <c r="E166" s="1751"/>
      <c r="F166" s="1751"/>
      <c r="G166" s="1752"/>
      <c r="H166" s="835"/>
      <c r="I166" s="1327" t="e">
        <f t="shared" si="39"/>
        <v>#DIV/0!</v>
      </c>
      <c r="J166" s="736" t="s">
        <v>365</v>
      </c>
      <c r="K166" s="736" t="s">
        <v>365</v>
      </c>
      <c r="L166" s="1330" t="str">
        <f t="shared" si="40"/>
        <v>Non renseigné</v>
      </c>
      <c r="M166" s="736" t="str">
        <f t="shared" si="41"/>
        <v>-</v>
      </c>
      <c r="N166" s="822" t="e">
        <f t="shared" si="42"/>
        <v>#VALUE!</v>
      </c>
      <c r="O166" s="733" t="e">
        <f t="shared" si="43"/>
        <v>#VALUE!</v>
      </c>
      <c r="P166" s="822" t="e">
        <f t="shared" si="44"/>
        <v>#VALUE!</v>
      </c>
      <c r="Q166" s="823"/>
      <c r="R166" s="942"/>
      <c r="S166" s="402" t="e">
        <f t="shared" si="17"/>
        <v>#VALUE!</v>
      </c>
      <c r="T166" s="402" t="e">
        <f t="shared" si="18"/>
        <v>#VALUE!</v>
      </c>
      <c r="U166" s="402" t="e">
        <f t="shared" si="19"/>
        <v>#VALUE!</v>
      </c>
      <c r="V166" s="402" t="e">
        <f t="shared" si="20"/>
        <v>#VALUE!</v>
      </c>
      <c r="W166" s="402" t="e">
        <f t="shared" si="21"/>
        <v>#VALUE!</v>
      </c>
      <c r="X166" s="402" t="e">
        <f t="shared" si="22"/>
        <v>#VALUE!</v>
      </c>
      <c r="Y166" s="402" t="e">
        <f t="shared" si="23"/>
        <v>#VALUE!</v>
      </c>
      <c r="Z166" s="402" t="e">
        <f t="shared" si="24"/>
        <v>#VALUE!</v>
      </c>
      <c r="AA166" s="402" t="e">
        <f t="shared" si="25"/>
        <v>#VALUE!</v>
      </c>
      <c r="AB166" s="669" t="e">
        <f t="shared" si="26"/>
        <v>#VALUE!</v>
      </c>
      <c r="AC166" s="403"/>
    </row>
    <row r="167" spans="2:29" s="121" customFormat="1" outlineLevel="1">
      <c r="B167" s="1167"/>
      <c r="C167" s="1168"/>
      <c r="D167" s="1750" t="s">
        <v>290</v>
      </c>
      <c r="E167" s="1751"/>
      <c r="F167" s="1751"/>
      <c r="G167" s="1752"/>
      <c r="H167" s="835"/>
      <c r="I167" s="1327" t="e">
        <f t="shared" si="39"/>
        <v>#DIV/0!</v>
      </c>
      <c r="J167" s="736" t="s">
        <v>365</v>
      </c>
      <c r="K167" s="736" t="s">
        <v>365</v>
      </c>
      <c r="L167" s="1330" t="str">
        <f t="shared" si="40"/>
        <v>Non renseigné</v>
      </c>
      <c r="M167" s="736" t="str">
        <f t="shared" si="41"/>
        <v>-</v>
      </c>
      <c r="N167" s="822" t="e">
        <f t="shared" si="42"/>
        <v>#VALUE!</v>
      </c>
      <c r="O167" s="733" t="e">
        <f t="shared" si="43"/>
        <v>#VALUE!</v>
      </c>
      <c r="P167" s="822" t="e">
        <f t="shared" si="44"/>
        <v>#VALUE!</v>
      </c>
      <c r="Q167" s="823"/>
      <c r="R167" s="942"/>
      <c r="S167" s="402" t="e">
        <f t="shared" si="17"/>
        <v>#VALUE!</v>
      </c>
      <c r="T167" s="402" t="e">
        <f t="shared" si="18"/>
        <v>#VALUE!</v>
      </c>
      <c r="U167" s="402" t="e">
        <f t="shared" si="19"/>
        <v>#VALUE!</v>
      </c>
      <c r="V167" s="402" t="e">
        <f t="shared" si="20"/>
        <v>#VALUE!</v>
      </c>
      <c r="W167" s="402" t="e">
        <f t="shared" si="21"/>
        <v>#VALUE!</v>
      </c>
      <c r="X167" s="402" t="e">
        <f t="shared" si="22"/>
        <v>#VALUE!</v>
      </c>
      <c r="Y167" s="402" t="e">
        <f t="shared" si="23"/>
        <v>#VALUE!</v>
      </c>
      <c r="Z167" s="402" t="e">
        <f t="shared" si="24"/>
        <v>#VALUE!</v>
      </c>
      <c r="AA167" s="402" t="e">
        <f t="shared" si="25"/>
        <v>#VALUE!</v>
      </c>
      <c r="AB167" s="669" t="e">
        <f t="shared" si="26"/>
        <v>#VALUE!</v>
      </c>
      <c r="AC167" s="403"/>
    </row>
    <row r="168" spans="2:29" s="121" customFormat="1" outlineLevel="1">
      <c r="B168" s="1167"/>
      <c r="C168" s="1168"/>
      <c r="D168" s="1750" t="s">
        <v>290</v>
      </c>
      <c r="E168" s="1751"/>
      <c r="F168" s="1751"/>
      <c r="G168" s="1752"/>
      <c r="H168" s="835"/>
      <c r="I168" s="1327" t="e">
        <f t="shared" si="39"/>
        <v>#DIV/0!</v>
      </c>
      <c r="J168" s="736" t="s">
        <v>365</v>
      </c>
      <c r="K168" s="736" t="s">
        <v>365</v>
      </c>
      <c r="L168" s="1330" t="str">
        <f t="shared" si="40"/>
        <v>Non renseigné</v>
      </c>
      <c r="M168" s="736" t="str">
        <f t="shared" si="41"/>
        <v>-</v>
      </c>
      <c r="N168" s="822" t="e">
        <f t="shared" si="42"/>
        <v>#VALUE!</v>
      </c>
      <c r="O168" s="733" t="e">
        <f t="shared" si="43"/>
        <v>#VALUE!</v>
      </c>
      <c r="P168" s="822" t="e">
        <f t="shared" si="44"/>
        <v>#VALUE!</v>
      </c>
      <c r="Q168" s="823"/>
      <c r="R168" s="942"/>
      <c r="S168" s="402" t="e">
        <f t="shared" si="17"/>
        <v>#VALUE!</v>
      </c>
      <c r="T168" s="402" t="e">
        <f t="shared" si="18"/>
        <v>#VALUE!</v>
      </c>
      <c r="U168" s="402" t="e">
        <f t="shared" si="19"/>
        <v>#VALUE!</v>
      </c>
      <c r="V168" s="402" t="e">
        <f t="shared" si="20"/>
        <v>#VALUE!</v>
      </c>
      <c r="W168" s="402" t="e">
        <f t="shared" si="21"/>
        <v>#VALUE!</v>
      </c>
      <c r="X168" s="402" t="e">
        <f t="shared" si="22"/>
        <v>#VALUE!</v>
      </c>
      <c r="Y168" s="402" t="e">
        <f t="shared" si="23"/>
        <v>#VALUE!</v>
      </c>
      <c r="Z168" s="402" t="e">
        <f t="shared" si="24"/>
        <v>#VALUE!</v>
      </c>
      <c r="AA168" s="402" t="e">
        <f t="shared" si="25"/>
        <v>#VALUE!</v>
      </c>
      <c r="AB168" s="669" t="e">
        <f t="shared" si="26"/>
        <v>#VALUE!</v>
      </c>
      <c r="AC168" s="403"/>
    </row>
    <row r="169" spans="2:29" s="121" customFormat="1" outlineLevel="1">
      <c r="B169" s="1167"/>
      <c r="C169" s="1168"/>
      <c r="D169" s="1750" t="s">
        <v>290</v>
      </c>
      <c r="E169" s="1751"/>
      <c r="F169" s="1751"/>
      <c r="G169" s="1752"/>
      <c r="H169" s="835"/>
      <c r="I169" s="1327" t="e">
        <f t="shared" si="39"/>
        <v>#DIV/0!</v>
      </c>
      <c r="J169" s="736" t="s">
        <v>365</v>
      </c>
      <c r="K169" s="736" t="s">
        <v>365</v>
      </c>
      <c r="L169" s="1330" t="str">
        <f t="shared" si="40"/>
        <v>Non renseigné</v>
      </c>
      <c r="M169" s="736" t="str">
        <f t="shared" si="41"/>
        <v>-</v>
      </c>
      <c r="N169" s="822" t="e">
        <f t="shared" si="42"/>
        <v>#VALUE!</v>
      </c>
      <c r="O169" s="733" t="e">
        <f t="shared" si="43"/>
        <v>#VALUE!</v>
      </c>
      <c r="P169" s="822" t="e">
        <f t="shared" si="44"/>
        <v>#VALUE!</v>
      </c>
      <c r="Q169" s="823"/>
      <c r="R169" s="942"/>
      <c r="S169" s="402" t="e">
        <f t="shared" si="17"/>
        <v>#VALUE!</v>
      </c>
      <c r="T169" s="402" t="e">
        <f t="shared" si="18"/>
        <v>#VALUE!</v>
      </c>
      <c r="U169" s="402" t="e">
        <f t="shared" si="19"/>
        <v>#VALUE!</v>
      </c>
      <c r="V169" s="402" t="e">
        <f t="shared" si="20"/>
        <v>#VALUE!</v>
      </c>
      <c r="W169" s="402" t="e">
        <f t="shared" si="21"/>
        <v>#VALUE!</v>
      </c>
      <c r="X169" s="402" t="e">
        <f t="shared" si="22"/>
        <v>#VALUE!</v>
      </c>
      <c r="Y169" s="402" t="e">
        <f t="shared" si="23"/>
        <v>#VALUE!</v>
      </c>
      <c r="Z169" s="402" t="e">
        <f t="shared" si="24"/>
        <v>#VALUE!</v>
      </c>
      <c r="AA169" s="402" t="e">
        <f t="shared" si="25"/>
        <v>#VALUE!</v>
      </c>
      <c r="AB169" s="669" t="e">
        <f t="shared" si="26"/>
        <v>#VALUE!</v>
      </c>
      <c r="AC169" s="403"/>
    </row>
    <row r="170" spans="2:29" s="121" customFormat="1" outlineLevel="1">
      <c r="B170" s="1167"/>
      <c r="C170" s="1168"/>
      <c r="D170" s="1750" t="s">
        <v>290</v>
      </c>
      <c r="E170" s="1751"/>
      <c r="F170" s="1751"/>
      <c r="G170" s="1752"/>
      <c r="H170" s="835"/>
      <c r="I170" s="1327" t="e">
        <f t="shared" si="39"/>
        <v>#DIV/0!</v>
      </c>
      <c r="J170" s="736" t="s">
        <v>365</v>
      </c>
      <c r="K170" s="736" t="s">
        <v>365</v>
      </c>
      <c r="L170" s="1330" t="str">
        <f t="shared" si="40"/>
        <v>Non renseigné</v>
      </c>
      <c r="M170" s="736" t="str">
        <f t="shared" si="41"/>
        <v>-</v>
      </c>
      <c r="N170" s="822" t="e">
        <f t="shared" si="42"/>
        <v>#VALUE!</v>
      </c>
      <c r="O170" s="733" t="e">
        <f t="shared" si="43"/>
        <v>#VALUE!</v>
      </c>
      <c r="P170" s="822" t="e">
        <f t="shared" si="44"/>
        <v>#VALUE!</v>
      </c>
      <c r="Q170" s="823"/>
      <c r="R170" s="942"/>
      <c r="S170" s="402" t="e">
        <f t="shared" si="17"/>
        <v>#VALUE!</v>
      </c>
      <c r="T170" s="402" t="e">
        <f t="shared" si="18"/>
        <v>#VALUE!</v>
      </c>
      <c r="U170" s="402" t="e">
        <f t="shared" si="19"/>
        <v>#VALUE!</v>
      </c>
      <c r="V170" s="402" t="e">
        <f t="shared" si="20"/>
        <v>#VALUE!</v>
      </c>
      <c r="W170" s="402" t="e">
        <f t="shared" si="21"/>
        <v>#VALUE!</v>
      </c>
      <c r="X170" s="402" t="e">
        <f t="shared" si="22"/>
        <v>#VALUE!</v>
      </c>
      <c r="Y170" s="402" t="e">
        <f t="shared" si="23"/>
        <v>#VALUE!</v>
      </c>
      <c r="Z170" s="402" t="e">
        <f t="shared" si="24"/>
        <v>#VALUE!</v>
      </c>
      <c r="AA170" s="402" t="e">
        <f t="shared" si="25"/>
        <v>#VALUE!</v>
      </c>
      <c r="AB170" s="669" t="e">
        <f t="shared" si="26"/>
        <v>#VALUE!</v>
      </c>
      <c r="AC170" s="403"/>
    </row>
    <row r="171" spans="2:29" s="121" customFormat="1" outlineLevel="1">
      <c r="B171" s="1167"/>
      <c r="C171" s="1168"/>
      <c r="D171" s="1750" t="s">
        <v>290</v>
      </c>
      <c r="E171" s="1751"/>
      <c r="F171" s="1751"/>
      <c r="G171" s="1752"/>
      <c r="H171" s="835"/>
      <c r="I171" s="1327" t="e">
        <f t="shared" si="39"/>
        <v>#DIV/0!</v>
      </c>
      <c r="J171" s="736" t="s">
        <v>365</v>
      </c>
      <c r="K171" s="736" t="s">
        <v>365</v>
      </c>
      <c r="L171" s="1330" t="str">
        <f t="shared" si="40"/>
        <v>Non renseigné</v>
      </c>
      <c r="M171" s="736" t="str">
        <f t="shared" si="41"/>
        <v>-</v>
      </c>
      <c r="N171" s="822" t="e">
        <f t="shared" si="42"/>
        <v>#VALUE!</v>
      </c>
      <c r="O171" s="733" t="e">
        <f t="shared" si="43"/>
        <v>#VALUE!</v>
      </c>
      <c r="P171" s="822" t="e">
        <f t="shared" si="44"/>
        <v>#VALUE!</v>
      </c>
      <c r="Q171" s="823"/>
      <c r="R171" s="942"/>
      <c r="S171" s="402" t="e">
        <f t="shared" si="17"/>
        <v>#VALUE!</v>
      </c>
      <c r="T171" s="402" t="e">
        <f t="shared" si="18"/>
        <v>#VALUE!</v>
      </c>
      <c r="U171" s="402" t="e">
        <f t="shared" si="19"/>
        <v>#VALUE!</v>
      </c>
      <c r="V171" s="402" t="e">
        <f t="shared" si="20"/>
        <v>#VALUE!</v>
      </c>
      <c r="W171" s="402" t="e">
        <f t="shared" si="21"/>
        <v>#VALUE!</v>
      </c>
      <c r="X171" s="402" t="e">
        <f t="shared" si="22"/>
        <v>#VALUE!</v>
      </c>
      <c r="Y171" s="402" t="e">
        <f t="shared" si="23"/>
        <v>#VALUE!</v>
      </c>
      <c r="Z171" s="402" t="e">
        <f t="shared" si="24"/>
        <v>#VALUE!</v>
      </c>
      <c r="AA171" s="402" t="e">
        <f t="shared" si="25"/>
        <v>#VALUE!</v>
      </c>
      <c r="AB171" s="669" t="e">
        <f t="shared" si="26"/>
        <v>#VALUE!</v>
      </c>
      <c r="AC171" s="403"/>
    </row>
    <row r="172" spans="2:29" s="121" customFormat="1" outlineLevel="1">
      <c r="B172" s="1167"/>
      <c r="C172" s="1168"/>
      <c r="D172" s="1750" t="s">
        <v>290</v>
      </c>
      <c r="E172" s="1751"/>
      <c r="F172" s="1751"/>
      <c r="G172" s="1752"/>
      <c r="H172" s="835"/>
      <c r="I172" s="1327" t="e">
        <f t="shared" si="39"/>
        <v>#DIV/0!</v>
      </c>
      <c r="J172" s="736" t="s">
        <v>365</v>
      </c>
      <c r="K172" s="736" t="s">
        <v>365</v>
      </c>
      <c r="L172" s="1330" t="str">
        <f t="shared" si="40"/>
        <v>Non renseigné</v>
      </c>
      <c r="M172" s="736" t="str">
        <f t="shared" si="41"/>
        <v>-</v>
      </c>
      <c r="N172" s="822" t="e">
        <f t="shared" si="42"/>
        <v>#VALUE!</v>
      </c>
      <c r="O172" s="733" t="e">
        <f t="shared" si="43"/>
        <v>#VALUE!</v>
      </c>
      <c r="P172" s="822" t="e">
        <f t="shared" si="44"/>
        <v>#VALUE!</v>
      </c>
      <c r="Q172" s="823"/>
      <c r="R172" s="942"/>
      <c r="S172" s="402" t="e">
        <f t="shared" si="17"/>
        <v>#VALUE!</v>
      </c>
      <c r="T172" s="402" t="e">
        <f t="shared" si="18"/>
        <v>#VALUE!</v>
      </c>
      <c r="U172" s="402" t="e">
        <f t="shared" si="19"/>
        <v>#VALUE!</v>
      </c>
      <c r="V172" s="402" t="e">
        <f t="shared" si="20"/>
        <v>#VALUE!</v>
      </c>
      <c r="W172" s="402" t="e">
        <f t="shared" si="21"/>
        <v>#VALUE!</v>
      </c>
      <c r="X172" s="402" t="e">
        <f t="shared" si="22"/>
        <v>#VALUE!</v>
      </c>
      <c r="Y172" s="402" t="e">
        <f t="shared" si="23"/>
        <v>#VALUE!</v>
      </c>
      <c r="Z172" s="402" t="e">
        <f t="shared" si="24"/>
        <v>#VALUE!</v>
      </c>
      <c r="AA172" s="402" t="e">
        <f t="shared" si="25"/>
        <v>#VALUE!</v>
      </c>
      <c r="AB172" s="669" t="e">
        <f t="shared" si="26"/>
        <v>#VALUE!</v>
      </c>
      <c r="AC172" s="403"/>
    </row>
    <row r="173" spans="2:29" s="121" customFormat="1" outlineLevel="1">
      <c r="B173" s="1167"/>
      <c r="C173" s="1168"/>
      <c r="D173" s="1750" t="s">
        <v>290</v>
      </c>
      <c r="E173" s="1751"/>
      <c r="F173" s="1751"/>
      <c r="G173" s="1752"/>
      <c r="H173" s="835"/>
      <c r="I173" s="1327" t="e">
        <f t="shared" si="39"/>
        <v>#DIV/0!</v>
      </c>
      <c r="J173" s="736" t="s">
        <v>365</v>
      </c>
      <c r="K173" s="736" t="s">
        <v>365</v>
      </c>
      <c r="L173" s="1330" t="str">
        <f t="shared" si="40"/>
        <v>Non renseigné</v>
      </c>
      <c r="M173" s="736" t="str">
        <f t="shared" si="41"/>
        <v>-</v>
      </c>
      <c r="N173" s="822" t="e">
        <f t="shared" si="42"/>
        <v>#VALUE!</v>
      </c>
      <c r="O173" s="733" t="e">
        <f t="shared" si="43"/>
        <v>#VALUE!</v>
      </c>
      <c r="P173" s="822" t="e">
        <f t="shared" si="44"/>
        <v>#VALUE!</v>
      </c>
      <c r="Q173" s="823"/>
      <c r="R173" s="942"/>
      <c r="S173" s="402" t="e">
        <f t="shared" si="17"/>
        <v>#VALUE!</v>
      </c>
      <c r="T173" s="402" t="e">
        <f t="shared" si="18"/>
        <v>#VALUE!</v>
      </c>
      <c r="U173" s="402" t="e">
        <f t="shared" si="19"/>
        <v>#VALUE!</v>
      </c>
      <c r="V173" s="402" t="e">
        <f t="shared" si="20"/>
        <v>#VALUE!</v>
      </c>
      <c r="W173" s="402" t="e">
        <f t="shared" si="21"/>
        <v>#VALUE!</v>
      </c>
      <c r="X173" s="402" t="e">
        <f t="shared" si="22"/>
        <v>#VALUE!</v>
      </c>
      <c r="Y173" s="402" t="e">
        <f t="shared" si="23"/>
        <v>#VALUE!</v>
      </c>
      <c r="Z173" s="402" t="e">
        <f t="shared" si="24"/>
        <v>#VALUE!</v>
      </c>
      <c r="AA173" s="402" t="e">
        <f t="shared" si="25"/>
        <v>#VALUE!</v>
      </c>
      <c r="AB173" s="669" t="e">
        <f t="shared" si="26"/>
        <v>#VALUE!</v>
      </c>
      <c r="AC173" s="403"/>
    </row>
    <row r="174" spans="2:29" s="121" customFormat="1" outlineLevel="1">
      <c r="B174" s="1167"/>
      <c r="C174" s="1168"/>
      <c r="D174" s="1750" t="s">
        <v>290</v>
      </c>
      <c r="E174" s="1751"/>
      <c r="F174" s="1751"/>
      <c r="G174" s="1752"/>
      <c r="H174" s="835"/>
      <c r="I174" s="1327" t="e">
        <f t="shared" si="39"/>
        <v>#DIV/0!</v>
      </c>
      <c r="J174" s="736" t="s">
        <v>365</v>
      </c>
      <c r="K174" s="736" t="s">
        <v>365</v>
      </c>
      <c r="L174" s="1330" t="str">
        <f t="shared" si="40"/>
        <v>Non renseigné</v>
      </c>
      <c r="M174" s="736" t="str">
        <f t="shared" si="41"/>
        <v>-</v>
      </c>
      <c r="N174" s="822" t="e">
        <f t="shared" si="42"/>
        <v>#VALUE!</v>
      </c>
      <c r="O174" s="733" t="e">
        <f t="shared" si="43"/>
        <v>#VALUE!</v>
      </c>
      <c r="P174" s="822" t="e">
        <f t="shared" si="44"/>
        <v>#VALUE!</v>
      </c>
      <c r="Q174" s="823"/>
      <c r="R174" s="942"/>
      <c r="S174" s="402" t="e">
        <f t="shared" si="17"/>
        <v>#VALUE!</v>
      </c>
      <c r="T174" s="402" t="e">
        <f t="shared" si="18"/>
        <v>#VALUE!</v>
      </c>
      <c r="U174" s="402" t="e">
        <f t="shared" si="19"/>
        <v>#VALUE!</v>
      </c>
      <c r="V174" s="402" t="e">
        <f t="shared" si="20"/>
        <v>#VALUE!</v>
      </c>
      <c r="W174" s="402" t="e">
        <f t="shared" si="21"/>
        <v>#VALUE!</v>
      </c>
      <c r="X174" s="402" t="e">
        <f t="shared" si="22"/>
        <v>#VALUE!</v>
      </c>
      <c r="Y174" s="402" t="e">
        <f t="shared" si="23"/>
        <v>#VALUE!</v>
      </c>
      <c r="Z174" s="402" t="e">
        <f t="shared" si="24"/>
        <v>#VALUE!</v>
      </c>
      <c r="AA174" s="402" t="e">
        <f t="shared" si="25"/>
        <v>#VALUE!</v>
      </c>
      <c r="AB174" s="669" t="e">
        <f t="shared" si="26"/>
        <v>#VALUE!</v>
      </c>
      <c r="AC174" s="403"/>
    </row>
    <row r="175" spans="2:29" s="121" customFormat="1" outlineLevel="1">
      <c r="B175" s="1167"/>
      <c r="C175" s="1168"/>
      <c r="D175" s="1750" t="s">
        <v>290</v>
      </c>
      <c r="E175" s="1751"/>
      <c r="F175" s="1751"/>
      <c r="G175" s="1752"/>
      <c r="H175" s="835"/>
      <c r="I175" s="1327" t="e">
        <f t="shared" si="39"/>
        <v>#DIV/0!</v>
      </c>
      <c r="J175" s="736" t="s">
        <v>365</v>
      </c>
      <c r="K175" s="736" t="s">
        <v>365</v>
      </c>
      <c r="L175" s="1330" t="str">
        <f t="shared" si="40"/>
        <v>Non renseigné</v>
      </c>
      <c r="M175" s="736" t="str">
        <f t="shared" si="41"/>
        <v>-</v>
      </c>
      <c r="N175" s="822" t="e">
        <f t="shared" si="42"/>
        <v>#VALUE!</v>
      </c>
      <c r="O175" s="733" t="e">
        <f t="shared" si="43"/>
        <v>#VALUE!</v>
      </c>
      <c r="P175" s="822" t="e">
        <f t="shared" si="44"/>
        <v>#VALUE!</v>
      </c>
      <c r="Q175" s="823"/>
      <c r="R175" s="942"/>
      <c r="S175" s="402" t="e">
        <f t="shared" si="17"/>
        <v>#VALUE!</v>
      </c>
      <c r="T175" s="402" t="e">
        <f t="shared" si="18"/>
        <v>#VALUE!</v>
      </c>
      <c r="U175" s="402" t="e">
        <f t="shared" si="19"/>
        <v>#VALUE!</v>
      </c>
      <c r="V175" s="402" t="e">
        <f t="shared" si="20"/>
        <v>#VALUE!</v>
      </c>
      <c r="W175" s="402" t="e">
        <f t="shared" si="21"/>
        <v>#VALUE!</v>
      </c>
      <c r="X175" s="402" t="e">
        <f t="shared" si="22"/>
        <v>#VALUE!</v>
      </c>
      <c r="Y175" s="402" t="e">
        <f t="shared" si="23"/>
        <v>#VALUE!</v>
      </c>
      <c r="Z175" s="402" t="e">
        <f t="shared" si="24"/>
        <v>#VALUE!</v>
      </c>
      <c r="AA175" s="402" t="e">
        <f t="shared" si="25"/>
        <v>#VALUE!</v>
      </c>
      <c r="AB175" s="669" t="e">
        <f t="shared" si="26"/>
        <v>#VALUE!</v>
      </c>
      <c r="AC175" s="403"/>
    </row>
    <row r="176" spans="2:29" s="121" customFormat="1" outlineLevel="1">
      <c r="B176" s="1167"/>
      <c r="C176" s="1168"/>
      <c r="D176" s="1750" t="s">
        <v>290</v>
      </c>
      <c r="E176" s="1751"/>
      <c r="F176" s="1751"/>
      <c r="G176" s="1752"/>
      <c r="H176" s="835"/>
      <c r="I176" s="1327" t="e">
        <f t="shared" si="39"/>
        <v>#DIV/0!</v>
      </c>
      <c r="J176" s="736" t="s">
        <v>365</v>
      </c>
      <c r="K176" s="736" t="s">
        <v>365</v>
      </c>
      <c r="L176" s="1330" t="str">
        <f t="shared" si="40"/>
        <v>Non renseigné</v>
      </c>
      <c r="M176" s="736" t="str">
        <f t="shared" si="41"/>
        <v>-</v>
      </c>
      <c r="N176" s="822" t="e">
        <f t="shared" si="42"/>
        <v>#VALUE!</v>
      </c>
      <c r="O176" s="733" t="e">
        <f t="shared" si="43"/>
        <v>#VALUE!</v>
      </c>
      <c r="P176" s="822" t="e">
        <f t="shared" si="44"/>
        <v>#VALUE!</v>
      </c>
      <c r="Q176" s="823"/>
      <c r="R176" s="942"/>
      <c r="S176" s="402" t="e">
        <f t="shared" si="17"/>
        <v>#VALUE!</v>
      </c>
      <c r="T176" s="402" t="e">
        <f t="shared" si="18"/>
        <v>#VALUE!</v>
      </c>
      <c r="U176" s="402" t="e">
        <f t="shared" si="19"/>
        <v>#VALUE!</v>
      </c>
      <c r="V176" s="402" t="e">
        <f t="shared" si="20"/>
        <v>#VALUE!</v>
      </c>
      <c r="W176" s="402" t="e">
        <f t="shared" si="21"/>
        <v>#VALUE!</v>
      </c>
      <c r="X176" s="402" t="e">
        <f t="shared" si="22"/>
        <v>#VALUE!</v>
      </c>
      <c r="Y176" s="402" t="e">
        <f t="shared" si="23"/>
        <v>#VALUE!</v>
      </c>
      <c r="Z176" s="402" t="e">
        <f t="shared" si="24"/>
        <v>#VALUE!</v>
      </c>
      <c r="AA176" s="402" t="e">
        <f t="shared" si="25"/>
        <v>#VALUE!</v>
      </c>
      <c r="AB176" s="669" t="e">
        <f t="shared" si="26"/>
        <v>#VALUE!</v>
      </c>
      <c r="AC176" s="403"/>
    </row>
    <row r="177" spans="2:29" s="121" customFormat="1" outlineLevel="1">
      <c r="B177" s="1167"/>
      <c r="C177" s="1168"/>
      <c r="D177" s="1750" t="s">
        <v>290</v>
      </c>
      <c r="E177" s="1751"/>
      <c r="F177" s="1751"/>
      <c r="G177" s="1752"/>
      <c r="H177" s="835"/>
      <c r="I177" s="1327" t="e">
        <f t="shared" si="39"/>
        <v>#DIV/0!</v>
      </c>
      <c r="J177" s="736" t="s">
        <v>365</v>
      </c>
      <c r="K177" s="736" t="s">
        <v>365</v>
      </c>
      <c r="L177" s="1330" t="str">
        <f t="shared" si="40"/>
        <v>Non renseigné</v>
      </c>
      <c r="M177" s="736" t="str">
        <f t="shared" si="41"/>
        <v>-</v>
      </c>
      <c r="N177" s="822" t="e">
        <f t="shared" si="42"/>
        <v>#VALUE!</v>
      </c>
      <c r="O177" s="733" t="e">
        <f t="shared" si="43"/>
        <v>#VALUE!</v>
      </c>
      <c r="P177" s="822" t="e">
        <f t="shared" si="44"/>
        <v>#VALUE!</v>
      </c>
      <c r="Q177" s="823"/>
      <c r="R177" s="942"/>
      <c r="S177" s="402" t="e">
        <f t="shared" si="17"/>
        <v>#VALUE!</v>
      </c>
      <c r="T177" s="402" t="e">
        <f t="shared" si="18"/>
        <v>#VALUE!</v>
      </c>
      <c r="U177" s="402" t="e">
        <f t="shared" si="19"/>
        <v>#VALUE!</v>
      </c>
      <c r="V177" s="402" t="e">
        <f t="shared" si="20"/>
        <v>#VALUE!</v>
      </c>
      <c r="W177" s="402" t="e">
        <f t="shared" si="21"/>
        <v>#VALUE!</v>
      </c>
      <c r="X177" s="402" t="e">
        <f t="shared" si="22"/>
        <v>#VALUE!</v>
      </c>
      <c r="Y177" s="402" t="e">
        <f t="shared" si="23"/>
        <v>#VALUE!</v>
      </c>
      <c r="Z177" s="402" t="e">
        <f t="shared" si="24"/>
        <v>#VALUE!</v>
      </c>
      <c r="AA177" s="402" t="e">
        <f t="shared" si="25"/>
        <v>#VALUE!</v>
      </c>
      <c r="AB177" s="669" t="e">
        <f t="shared" si="26"/>
        <v>#VALUE!</v>
      </c>
      <c r="AC177" s="403"/>
    </row>
    <row r="178" spans="2:29" s="121" customFormat="1" outlineLevel="1">
      <c r="B178" s="1167"/>
      <c r="C178" s="1168"/>
      <c r="D178" s="1750" t="s">
        <v>290</v>
      </c>
      <c r="E178" s="1751"/>
      <c r="F178" s="1751"/>
      <c r="G178" s="1752"/>
      <c r="H178" s="835"/>
      <c r="I178" s="1327" t="e">
        <f t="shared" si="39"/>
        <v>#DIV/0!</v>
      </c>
      <c r="J178" s="736" t="s">
        <v>365</v>
      </c>
      <c r="K178" s="736" t="s">
        <v>365</v>
      </c>
      <c r="L178" s="1330" t="str">
        <f t="shared" si="40"/>
        <v>Non renseigné</v>
      </c>
      <c r="M178" s="736" t="str">
        <f t="shared" si="41"/>
        <v>-</v>
      </c>
      <c r="N178" s="822" t="e">
        <f t="shared" si="42"/>
        <v>#VALUE!</v>
      </c>
      <c r="O178" s="733" t="e">
        <f t="shared" si="43"/>
        <v>#VALUE!</v>
      </c>
      <c r="P178" s="822" t="e">
        <f t="shared" si="44"/>
        <v>#VALUE!</v>
      </c>
      <c r="Q178" s="823"/>
      <c r="R178" s="942"/>
      <c r="S178" s="402" t="e">
        <f t="shared" si="17"/>
        <v>#VALUE!</v>
      </c>
      <c r="T178" s="402" t="e">
        <f t="shared" si="18"/>
        <v>#VALUE!</v>
      </c>
      <c r="U178" s="402" t="e">
        <f t="shared" si="19"/>
        <v>#VALUE!</v>
      </c>
      <c r="V178" s="402" t="e">
        <f t="shared" si="20"/>
        <v>#VALUE!</v>
      </c>
      <c r="W178" s="402" t="e">
        <f t="shared" si="21"/>
        <v>#VALUE!</v>
      </c>
      <c r="X178" s="402" t="e">
        <f t="shared" si="22"/>
        <v>#VALUE!</v>
      </c>
      <c r="Y178" s="402" t="e">
        <f t="shared" si="23"/>
        <v>#VALUE!</v>
      </c>
      <c r="Z178" s="402" t="e">
        <f t="shared" si="24"/>
        <v>#VALUE!</v>
      </c>
      <c r="AA178" s="402" t="e">
        <f t="shared" si="25"/>
        <v>#VALUE!</v>
      </c>
      <c r="AB178" s="669" t="e">
        <f t="shared" si="26"/>
        <v>#VALUE!</v>
      </c>
      <c r="AC178" s="403"/>
    </row>
    <row r="179" spans="2:29" s="121" customFormat="1" outlineLevel="1">
      <c r="B179" s="1167"/>
      <c r="C179" s="1168"/>
      <c r="D179" s="1750" t="s">
        <v>290</v>
      </c>
      <c r="E179" s="1751"/>
      <c r="F179" s="1751"/>
      <c r="G179" s="1752"/>
      <c r="H179" s="835"/>
      <c r="I179" s="1327" t="e">
        <f t="shared" si="39"/>
        <v>#DIV/0!</v>
      </c>
      <c r="J179" s="736" t="s">
        <v>365</v>
      </c>
      <c r="K179" s="736" t="s">
        <v>365</v>
      </c>
      <c r="L179" s="1330" t="str">
        <f t="shared" si="40"/>
        <v>Non renseigné</v>
      </c>
      <c r="M179" s="736" t="str">
        <f t="shared" si="41"/>
        <v>-</v>
      </c>
      <c r="N179" s="822" t="e">
        <f t="shared" si="42"/>
        <v>#VALUE!</v>
      </c>
      <c r="O179" s="733" t="e">
        <f t="shared" si="43"/>
        <v>#VALUE!</v>
      </c>
      <c r="P179" s="822" t="e">
        <f t="shared" si="44"/>
        <v>#VALUE!</v>
      </c>
      <c r="Q179" s="823"/>
      <c r="R179" s="942"/>
      <c r="S179" s="402" t="e">
        <f t="shared" si="17"/>
        <v>#VALUE!</v>
      </c>
      <c r="T179" s="402" t="e">
        <f t="shared" si="18"/>
        <v>#VALUE!</v>
      </c>
      <c r="U179" s="402" t="e">
        <f t="shared" si="19"/>
        <v>#VALUE!</v>
      </c>
      <c r="V179" s="402" t="e">
        <f t="shared" si="20"/>
        <v>#VALUE!</v>
      </c>
      <c r="W179" s="402" t="e">
        <f t="shared" si="21"/>
        <v>#VALUE!</v>
      </c>
      <c r="X179" s="402" t="e">
        <f t="shared" si="22"/>
        <v>#VALUE!</v>
      </c>
      <c r="Y179" s="402" t="e">
        <f t="shared" si="23"/>
        <v>#VALUE!</v>
      </c>
      <c r="Z179" s="402" t="e">
        <f t="shared" si="24"/>
        <v>#VALUE!</v>
      </c>
      <c r="AA179" s="402" t="e">
        <f t="shared" si="25"/>
        <v>#VALUE!</v>
      </c>
      <c r="AB179" s="669" t="e">
        <f t="shared" si="26"/>
        <v>#VALUE!</v>
      </c>
      <c r="AC179" s="403"/>
    </row>
    <row r="180" spans="2:29" s="121" customFormat="1" outlineLevel="1">
      <c r="B180" s="1167"/>
      <c r="C180" s="1168"/>
      <c r="D180" s="1750" t="s">
        <v>290</v>
      </c>
      <c r="E180" s="1751"/>
      <c r="F180" s="1751"/>
      <c r="G180" s="1752"/>
      <c r="H180" s="835"/>
      <c r="I180" s="1327" t="e">
        <f t="shared" si="39"/>
        <v>#DIV/0!</v>
      </c>
      <c r="J180" s="736" t="s">
        <v>365</v>
      </c>
      <c r="K180" s="736" t="s">
        <v>365</v>
      </c>
      <c r="L180" s="1330" t="str">
        <f t="shared" si="40"/>
        <v>Non renseigné</v>
      </c>
      <c r="M180" s="736" t="str">
        <f t="shared" si="41"/>
        <v>-</v>
      </c>
      <c r="N180" s="822" t="e">
        <f t="shared" si="42"/>
        <v>#VALUE!</v>
      </c>
      <c r="O180" s="733" t="e">
        <f t="shared" si="43"/>
        <v>#VALUE!</v>
      </c>
      <c r="P180" s="822" t="e">
        <f t="shared" si="44"/>
        <v>#VALUE!</v>
      </c>
      <c r="Q180" s="823"/>
      <c r="R180" s="942"/>
      <c r="S180" s="402" t="e">
        <f t="shared" si="17"/>
        <v>#VALUE!</v>
      </c>
      <c r="T180" s="402" t="e">
        <f t="shared" si="18"/>
        <v>#VALUE!</v>
      </c>
      <c r="U180" s="402" t="e">
        <f t="shared" si="19"/>
        <v>#VALUE!</v>
      </c>
      <c r="V180" s="402" t="e">
        <f t="shared" si="20"/>
        <v>#VALUE!</v>
      </c>
      <c r="W180" s="402" t="e">
        <f t="shared" si="21"/>
        <v>#VALUE!</v>
      </c>
      <c r="X180" s="402" t="e">
        <f t="shared" si="22"/>
        <v>#VALUE!</v>
      </c>
      <c r="Y180" s="402" t="e">
        <f t="shared" si="23"/>
        <v>#VALUE!</v>
      </c>
      <c r="Z180" s="402" t="e">
        <f t="shared" si="24"/>
        <v>#VALUE!</v>
      </c>
      <c r="AA180" s="402" t="e">
        <f t="shared" si="25"/>
        <v>#VALUE!</v>
      </c>
      <c r="AB180" s="669" t="e">
        <f t="shared" si="26"/>
        <v>#VALUE!</v>
      </c>
      <c r="AC180" s="403"/>
    </row>
    <row r="181" spans="2:29" s="121" customFormat="1" outlineLevel="1">
      <c r="B181" s="1167"/>
      <c r="C181" s="1168"/>
      <c r="D181" s="1750" t="s">
        <v>290</v>
      </c>
      <c r="E181" s="1751"/>
      <c r="F181" s="1751"/>
      <c r="G181" s="1752"/>
      <c r="H181" s="835"/>
      <c r="I181" s="1327" t="e">
        <f t="shared" si="39"/>
        <v>#DIV/0!</v>
      </c>
      <c r="J181" s="736" t="s">
        <v>365</v>
      </c>
      <c r="K181" s="736" t="s">
        <v>365</v>
      </c>
      <c r="L181" s="1330" t="str">
        <f t="shared" si="40"/>
        <v>Non renseigné</v>
      </c>
      <c r="M181" s="736" t="str">
        <f t="shared" si="41"/>
        <v>-</v>
      </c>
      <c r="N181" s="822" t="e">
        <f t="shared" si="42"/>
        <v>#VALUE!</v>
      </c>
      <c r="O181" s="733" t="e">
        <f t="shared" si="43"/>
        <v>#VALUE!</v>
      </c>
      <c r="P181" s="822" t="e">
        <f t="shared" si="44"/>
        <v>#VALUE!</v>
      </c>
      <c r="Q181" s="823"/>
      <c r="R181" s="942"/>
      <c r="S181" s="402" t="e">
        <f t="shared" si="17"/>
        <v>#VALUE!</v>
      </c>
      <c r="T181" s="402" t="e">
        <f t="shared" si="18"/>
        <v>#VALUE!</v>
      </c>
      <c r="U181" s="402" t="e">
        <f t="shared" si="19"/>
        <v>#VALUE!</v>
      </c>
      <c r="V181" s="402" t="e">
        <f t="shared" si="20"/>
        <v>#VALUE!</v>
      </c>
      <c r="W181" s="402" t="e">
        <f t="shared" si="21"/>
        <v>#VALUE!</v>
      </c>
      <c r="X181" s="402" t="e">
        <f t="shared" si="22"/>
        <v>#VALUE!</v>
      </c>
      <c r="Y181" s="402" t="e">
        <f t="shared" si="23"/>
        <v>#VALUE!</v>
      </c>
      <c r="Z181" s="402" t="e">
        <f t="shared" si="24"/>
        <v>#VALUE!</v>
      </c>
      <c r="AA181" s="402" t="e">
        <f t="shared" si="25"/>
        <v>#VALUE!</v>
      </c>
      <c r="AB181" s="669" t="e">
        <f t="shared" si="26"/>
        <v>#VALUE!</v>
      </c>
      <c r="AC181" s="403"/>
    </row>
    <row r="182" spans="2:29" s="121" customFormat="1" outlineLevel="1">
      <c r="B182" s="1167"/>
      <c r="C182" s="1168"/>
      <c r="D182" s="1750" t="s">
        <v>290</v>
      </c>
      <c r="E182" s="1751"/>
      <c r="F182" s="1751"/>
      <c r="G182" s="1752"/>
      <c r="H182" s="835"/>
      <c r="I182" s="1327" t="e">
        <f t="shared" si="39"/>
        <v>#DIV/0!</v>
      </c>
      <c r="J182" s="736" t="s">
        <v>365</v>
      </c>
      <c r="K182" s="736" t="s">
        <v>365</v>
      </c>
      <c r="L182" s="1330" t="str">
        <f t="shared" si="40"/>
        <v>Non renseigné</v>
      </c>
      <c r="M182" s="736" t="str">
        <f t="shared" si="41"/>
        <v>-</v>
      </c>
      <c r="N182" s="822" t="e">
        <f t="shared" si="42"/>
        <v>#VALUE!</v>
      </c>
      <c r="O182" s="733" t="e">
        <f t="shared" si="43"/>
        <v>#VALUE!</v>
      </c>
      <c r="P182" s="822" t="e">
        <f t="shared" si="44"/>
        <v>#VALUE!</v>
      </c>
      <c r="Q182" s="823"/>
      <c r="R182" s="942"/>
      <c r="S182" s="402" t="e">
        <f t="shared" si="17"/>
        <v>#VALUE!</v>
      </c>
      <c r="T182" s="402" t="e">
        <f t="shared" si="18"/>
        <v>#VALUE!</v>
      </c>
      <c r="U182" s="402" t="e">
        <f t="shared" si="19"/>
        <v>#VALUE!</v>
      </c>
      <c r="V182" s="402" t="e">
        <f t="shared" si="20"/>
        <v>#VALUE!</v>
      </c>
      <c r="W182" s="402" t="e">
        <f t="shared" si="21"/>
        <v>#VALUE!</v>
      </c>
      <c r="X182" s="402" t="e">
        <f t="shared" si="22"/>
        <v>#VALUE!</v>
      </c>
      <c r="Y182" s="402" t="e">
        <f t="shared" si="23"/>
        <v>#VALUE!</v>
      </c>
      <c r="Z182" s="402" t="e">
        <f t="shared" si="24"/>
        <v>#VALUE!</v>
      </c>
      <c r="AA182" s="402" t="e">
        <f t="shared" si="25"/>
        <v>#VALUE!</v>
      </c>
      <c r="AB182" s="669" t="e">
        <f t="shared" si="26"/>
        <v>#VALUE!</v>
      </c>
      <c r="AC182" s="403"/>
    </row>
    <row r="183" spans="2:29" s="121" customFormat="1" outlineLevel="1">
      <c r="B183" s="1167"/>
      <c r="C183" s="1168"/>
      <c r="D183" s="1750" t="s">
        <v>290</v>
      </c>
      <c r="E183" s="1751"/>
      <c r="F183" s="1751"/>
      <c r="G183" s="1752"/>
      <c r="H183" s="835"/>
      <c r="I183" s="1327" t="e">
        <f t="shared" si="39"/>
        <v>#DIV/0!</v>
      </c>
      <c r="J183" s="736" t="s">
        <v>365</v>
      </c>
      <c r="K183" s="736" t="s">
        <v>365</v>
      </c>
      <c r="L183" s="1330" t="str">
        <f t="shared" si="40"/>
        <v>Non renseigné</v>
      </c>
      <c r="M183" s="736" t="str">
        <f t="shared" si="41"/>
        <v>-</v>
      </c>
      <c r="N183" s="822" t="e">
        <f t="shared" si="42"/>
        <v>#VALUE!</v>
      </c>
      <c r="O183" s="733" t="e">
        <f t="shared" si="43"/>
        <v>#VALUE!</v>
      </c>
      <c r="P183" s="822" t="e">
        <f t="shared" si="44"/>
        <v>#VALUE!</v>
      </c>
      <c r="Q183" s="823"/>
      <c r="R183" s="942"/>
      <c r="S183" s="402" t="e">
        <f t="shared" si="17"/>
        <v>#VALUE!</v>
      </c>
      <c r="T183" s="402" t="e">
        <f t="shared" si="18"/>
        <v>#VALUE!</v>
      </c>
      <c r="U183" s="402" t="e">
        <f t="shared" si="19"/>
        <v>#VALUE!</v>
      </c>
      <c r="V183" s="402" t="e">
        <f t="shared" si="20"/>
        <v>#VALUE!</v>
      </c>
      <c r="W183" s="402" t="e">
        <f t="shared" si="21"/>
        <v>#VALUE!</v>
      </c>
      <c r="X183" s="402" t="e">
        <f t="shared" si="22"/>
        <v>#VALUE!</v>
      </c>
      <c r="Y183" s="402" t="e">
        <f t="shared" si="23"/>
        <v>#VALUE!</v>
      </c>
      <c r="Z183" s="402" t="e">
        <f t="shared" si="24"/>
        <v>#VALUE!</v>
      </c>
      <c r="AA183" s="402" t="e">
        <f t="shared" si="25"/>
        <v>#VALUE!</v>
      </c>
      <c r="AB183" s="669" t="e">
        <f t="shared" si="26"/>
        <v>#VALUE!</v>
      </c>
      <c r="AC183" s="403"/>
    </row>
    <row r="184" spans="2:29" s="121" customFormat="1" outlineLevel="1">
      <c r="B184" s="1167"/>
      <c r="C184" s="1168"/>
      <c r="D184" s="1750" t="s">
        <v>290</v>
      </c>
      <c r="E184" s="1751"/>
      <c r="F184" s="1751"/>
      <c r="G184" s="1752"/>
      <c r="H184" s="835"/>
      <c r="I184" s="1327" t="e">
        <f t="shared" si="39"/>
        <v>#DIV/0!</v>
      </c>
      <c r="J184" s="736" t="s">
        <v>365</v>
      </c>
      <c r="K184" s="736" t="s">
        <v>365</v>
      </c>
      <c r="L184" s="1330" t="str">
        <f t="shared" si="40"/>
        <v>Non renseigné</v>
      </c>
      <c r="M184" s="736" t="str">
        <f t="shared" si="41"/>
        <v>-</v>
      </c>
      <c r="N184" s="822" t="e">
        <f t="shared" si="42"/>
        <v>#VALUE!</v>
      </c>
      <c r="O184" s="733" t="e">
        <f t="shared" si="43"/>
        <v>#VALUE!</v>
      </c>
      <c r="P184" s="822" t="e">
        <f t="shared" si="44"/>
        <v>#VALUE!</v>
      </c>
      <c r="Q184" s="823"/>
      <c r="R184" s="942"/>
      <c r="S184" s="402" t="e">
        <f t="shared" si="17"/>
        <v>#VALUE!</v>
      </c>
      <c r="T184" s="402" t="e">
        <f t="shared" si="18"/>
        <v>#VALUE!</v>
      </c>
      <c r="U184" s="402" t="e">
        <f t="shared" si="19"/>
        <v>#VALUE!</v>
      </c>
      <c r="V184" s="402" t="e">
        <f t="shared" si="20"/>
        <v>#VALUE!</v>
      </c>
      <c r="W184" s="402" t="e">
        <f t="shared" si="21"/>
        <v>#VALUE!</v>
      </c>
      <c r="X184" s="402" t="e">
        <f t="shared" si="22"/>
        <v>#VALUE!</v>
      </c>
      <c r="Y184" s="402" t="e">
        <f t="shared" si="23"/>
        <v>#VALUE!</v>
      </c>
      <c r="Z184" s="402" t="e">
        <f t="shared" si="24"/>
        <v>#VALUE!</v>
      </c>
      <c r="AA184" s="402" t="e">
        <f t="shared" si="25"/>
        <v>#VALUE!</v>
      </c>
      <c r="AB184" s="669" t="e">
        <f t="shared" si="26"/>
        <v>#VALUE!</v>
      </c>
      <c r="AC184" s="403"/>
    </row>
    <row r="185" spans="2:29" s="121" customFormat="1" outlineLevel="1">
      <c r="B185" s="1167"/>
      <c r="C185" s="1168"/>
      <c r="D185" s="1750" t="s">
        <v>290</v>
      </c>
      <c r="E185" s="1751"/>
      <c r="F185" s="1751"/>
      <c r="G185" s="1752"/>
      <c r="H185" s="835"/>
      <c r="I185" s="1327" t="e">
        <f t="shared" si="39"/>
        <v>#DIV/0!</v>
      </c>
      <c r="J185" s="736" t="s">
        <v>365</v>
      </c>
      <c r="K185" s="736" t="s">
        <v>365</v>
      </c>
      <c r="L185" s="1330" t="str">
        <f t="shared" si="40"/>
        <v>Non renseigné</v>
      </c>
      <c r="M185" s="736" t="str">
        <f t="shared" si="41"/>
        <v>-</v>
      </c>
      <c r="N185" s="822" t="e">
        <f t="shared" si="42"/>
        <v>#VALUE!</v>
      </c>
      <c r="O185" s="733" t="e">
        <f t="shared" si="43"/>
        <v>#VALUE!</v>
      </c>
      <c r="P185" s="822" t="e">
        <f t="shared" si="44"/>
        <v>#VALUE!</v>
      </c>
      <c r="Q185" s="823"/>
      <c r="R185" s="942"/>
      <c r="S185" s="402" t="e">
        <f t="shared" si="17"/>
        <v>#VALUE!</v>
      </c>
      <c r="T185" s="402" t="e">
        <f t="shared" si="18"/>
        <v>#VALUE!</v>
      </c>
      <c r="U185" s="402" t="e">
        <f t="shared" si="19"/>
        <v>#VALUE!</v>
      </c>
      <c r="V185" s="402" t="e">
        <f t="shared" si="20"/>
        <v>#VALUE!</v>
      </c>
      <c r="W185" s="402" t="e">
        <f t="shared" si="21"/>
        <v>#VALUE!</v>
      </c>
      <c r="X185" s="402" t="e">
        <f t="shared" si="22"/>
        <v>#VALUE!</v>
      </c>
      <c r="Y185" s="402" t="e">
        <f t="shared" si="23"/>
        <v>#VALUE!</v>
      </c>
      <c r="Z185" s="402" t="e">
        <f t="shared" si="24"/>
        <v>#VALUE!</v>
      </c>
      <c r="AA185" s="402" t="e">
        <f t="shared" si="25"/>
        <v>#VALUE!</v>
      </c>
      <c r="AB185" s="669" t="e">
        <f t="shared" si="26"/>
        <v>#VALUE!</v>
      </c>
      <c r="AC185" s="403"/>
    </row>
    <row r="186" spans="2:29" outlineLevel="1">
      <c r="B186" s="1167"/>
      <c r="C186" s="1168"/>
      <c r="D186" s="1750" t="s">
        <v>290</v>
      </c>
      <c r="E186" s="1751"/>
      <c r="F186" s="1751"/>
      <c r="G186" s="1752"/>
      <c r="H186" s="835"/>
      <c r="I186" s="1327" t="e">
        <f t="shared" si="39"/>
        <v>#DIV/0!</v>
      </c>
      <c r="J186" s="736" t="s">
        <v>365</v>
      </c>
      <c r="K186" s="736" t="s">
        <v>365</v>
      </c>
      <c r="L186" s="1330" t="str">
        <f t="shared" si="40"/>
        <v>Non renseigné</v>
      </c>
      <c r="M186" s="736" t="str">
        <f t="shared" si="41"/>
        <v>-</v>
      </c>
      <c r="N186" s="822" t="e">
        <f t="shared" si="42"/>
        <v>#VALUE!</v>
      </c>
      <c r="O186" s="733" t="e">
        <f t="shared" si="43"/>
        <v>#VALUE!</v>
      </c>
      <c r="P186" s="822" t="e">
        <f t="shared" si="44"/>
        <v>#VALUE!</v>
      </c>
      <c r="Q186" s="823"/>
      <c r="R186" s="942"/>
      <c r="S186" s="402" t="e">
        <f t="shared" si="17"/>
        <v>#VALUE!</v>
      </c>
      <c r="T186" s="402" t="e">
        <f t="shared" si="18"/>
        <v>#VALUE!</v>
      </c>
      <c r="U186" s="402" t="e">
        <f t="shared" si="19"/>
        <v>#VALUE!</v>
      </c>
      <c r="V186" s="402" t="e">
        <f t="shared" si="20"/>
        <v>#VALUE!</v>
      </c>
      <c r="W186" s="402" t="e">
        <f t="shared" si="21"/>
        <v>#VALUE!</v>
      </c>
      <c r="X186" s="402" t="e">
        <f t="shared" si="22"/>
        <v>#VALUE!</v>
      </c>
      <c r="Y186" s="402" t="e">
        <f t="shared" si="23"/>
        <v>#VALUE!</v>
      </c>
      <c r="Z186" s="402" t="e">
        <f t="shared" si="24"/>
        <v>#VALUE!</v>
      </c>
      <c r="AA186" s="402" t="e">
        <f t="shared" si="25"/>
        <v>#VALUE!</v>
      </c>
      <c r="AB186" s="669" t="e">
        <f t="shared" si="26"/>
        <v>#VALUE!</v>
      </c>
    </row>
    <row r="187" spans="2:29" s="121" customFormat="1" outlineLevel="1">
      <c r="B187" s="1167"/>
      <c r="C187" s="1168"/>
      <c r="D187" s="1750" t="s">
        <v>290</v>
      </c>
      <c r="E187" s="1751"/>
      <c r="F187" s="1751"/>
      <c r="G187" s="1752"/>
      <c r="H187" s="835"/>
      <c r="I187" s="1327" t="e">
        <f t="shared" si="39"/>
        <v>#DIV/0!</v>
      </c>
      <c r="J187" s="736" t="s">
        <v>365</v>
      </c>
      <c r="K187" s="736" t="s">
        <v>365</v>
      </c>
      <c r="L187" s="1330" t="str">
        <f t="shared" si="40"/>
        <v>Non renseigné</v>
      </c>
      <c r="M187" s="736" t="str">
        <f t="shared" si="41"/>
        <v>-</v>
      </c>
      <c r="N187" s="822" t="e">
        <f t="shared" si="42"/>
        <v>#VALUE!</v>
      </c>
      <c r="O187" s="733" t="e">
        <f t="shared" si="43"/>
        <v>#VALUE!</v>
      </c>
      <c r="P187" s="822" t="e">
        <f t="shared" si="44"/>
        <v>#VALUE!</v>
      </c>
      <c r="Q187" s="823"/>
      <c r="R187" s="942"/>
      <c r="S187" s="402" t="e">
        <f t="shared" si="17"/>
        <v>#VALUE!</v>
      </c>
      <c r="T187" s="402" t="e">
        <f t="shared" si="18"/>
        <v>#VALUE!</v>
      </c>
      <c r="U187" s="402" t="e">
        <f t="shared" si="19"/>
        <v>#VALUE!</v>
      </c>
      <c r="V187" s="402" t="e">
        <f t="shared" si="20"/>
        <v>#VALUE!</v>
      </c>
      <c r="W187" s="402" t="e">
        <f t="shared" si="21"/>
        <v>#VALUE!</v>
      </c>
      <c r="X187" s="402" t="e">
        <f t="shared" si="22"/>
        <v>#VALUE!</v>
      </c>
      <c r="Y187" s="402" t="e">
        <f t="shared" si="23"/>
        <v>#VALUE!</v>
      </c>
      <c r="Z187" s="402" t="e">
        <f t="shared" si="24"/>
        <v>#VALUE!</v>
      </c>
      <c r="AA187" s="402" t="e">
        <f t="shared" si="25"/>
        <v>#VALUE!</v>
      </c>
      <c r="AB187" s="669" t="e">
        <f t="shared" si="26"/>
        <v>#VALUE!</v>
      </c>
      <c r="AC187" s="403"/>
    </row>
    <row r="188" spans="2:29" s="121" customFormat="1" outlineLevel="1">
      <c r="B188" s="1167"/>
      <c r="C188" s="1168"/>
      <c r="D188" s="1750" t="s">
        <v>290</v>
      </c>
      <c r="E188" s="1751"/>
      <c r="F188" s="1751"/>
      <c r="G188" s="1752"/>
      <c r="H188" s="835"/>
      <c r="I188" s="1327" t="e">
        <f t="shared" si="39"/>
        <v>#DIV/0!</v>
      </c>
      <c r="J188" s="736" t="s">
        <v>365</v>
      </c>
      <c r="K188" s="736" t="s">
        <v>365</v>
      </c>
      <c r="L188" s="1330" t="str">
        <f t="shared" si="40"/>
        <v>Non renseigné</v>
      </c>
      <c r="M188" s="736" t="str">
        <f t="shared" si="41"/>
        <v>-</v>
      </c>
      <c r="N188" s="822" t="e">
        <f t="shared" si="42"/>
        <v>#VALUE!</v>
      </c>
      <c r="O188" s="733" t="e">
        <f t="shared" si="43"/>
        <v>#VALUE!</v>
      </c>
      <c r="P188" s="822" t="e">
        <f t="shared" si="44"/>
        <v>#VALUE!</v>
      </c>
      <c r="Q188" s="823"/>
      <c r="R188" s="942"/>
      <c r="S188" s="402" t="e">
        <f t="shared" si="17"/>
        <v>#VALUE!</v>
      </c>
      <c r="T188" s="402" t="e">
        <f t="shared" si="18"/>
        <v>#VALUE!</v>
      </c>
      <c r="U188" s="402" t="e">
        <f t="shared" si="19"/>
        <v>#VALUE!</v>
      </c>
      <c r="V188" s="402" t="e">
        <f t="shared" si="20"/>
        <v>#VALUE!</v>
      </c>
      <c r="W188" s="402" t="e">
        <f t="shared" si="21"/>
        <v>#VALUE!</v>
      </c>
      <c r="X188" s="402" t="e">
        <f t="shared" si="22"/>
        <v>#VALUE!</v>
      </c>
      <c r="Y188" s="402" t="e">
        <f t="shared" si="23"/>
        <v>#VALUE!</v>
      </c>
      <c r="Z188" s="402" t="e">
        <f t="shared" si="24"/>
        <v>#VALUE!</v>
      </c>
      <c r="AA188" s="402" t="e">
        <f t="shared" si="25"/>
        <v>#VALUE!</v>
      </c>
      <c r="AB188" s="669" t="e">
        <f t="shared" si="26"/>
        <v>#VALUE!</v>
      </c>
      <c r="AC188" s="403"/>
    </row>
    <row r="189" spans="2:29" s="121" customFormat="1" outlineLevel="1">
      <c r="B189" s="1167"/>
      <c r="C189" s="1168"/>
      <c r="D189" s="1750" t="s">
        <v>290</v>
      </c>
      <c r="E189" s="1751"/>
      <c r="F189" s="1751"/>
      <c r="G189" s="1752"/>
      <c r="H189" s="835"/>
      <c r="I189" s="1327" t="e">
        <f t="shared" si="39"/>
        <v>#DIV/0!</v>
      </c>
      <c r="J189" s="736" t="s">
        <v>365</v>
      </c>
      <c r="K189" s="736" t="s">
        <v>365</v>
      </c>
      <c r="L189" s="1330" t="str">
        <f t="shared" si="40"/>
        <v>Non renseigné</v>
      </c>
      <c r="M189" s="736" t="str">
        <f t="shared" si="41"/>
        <v>-</v>
      </c>
      <c r="N189" s="822" t="e">
        <f t="shared" si="42"/>
        <v>#VALUE!</v>
      </c>
      <c r="O189" s="733" t="e">
        <f t="shared" si="43"/>
        <v>#VALUE!</v>
      </c>
      <c r="P189" s="822" t="e">
        <f t="shared" si="44"/>
        <v>#VALUE!</v>
      </c>
      <c r="Q189" s="823"/>
      <c r="R189" s="942"/>
      <c r="S189" s="402" t="e">
        <f t="shared" si="17"/>
        <v>#VALUE!</v>
      </c>
      <c r="T189" s="402" t="e">
        <f t="shared" si="18"/>
        <v>#VALUE!</v>
      </c>
      <c r="U189" s="402" t="e">
        <f t="shared" si="19"/>
        <v>#VALUE!</v>
      </c>
      <c r="V189" s="402" t="e">
        <f t="shared" si="20"/>
        <v>#VALUE!</v>
      </c>
      <c r="W189" s="402" t="e">
        <f t="shared" si="21"/>
        <v>#VALUE!</v>
      </c>
      <c r="X189" s="402" t="e">
        <f t="shared" si="22"/>
        <v>#VALUE!</v>
      </c>
      <c r="Y189" s="402" t="e">
        <f t="shared" si="23"/>
        <v>#VALUE!</v>
      </c>
      <c r="Z189" s="402" t="e">
        <f t="shared" si="24"/>
        <v>#VALUE!</v>
      </c>
      <c r="AA189" s="402" t="e">
        <f t="shared" si="25"/>
        <v>#VALUE!</v>
      </c>
      <c r="AB189" s="669" t="e">
        <f t="shared" si="26"/>
        <v>#VALUE!</v>
      </c>
      <c r="AC189" s="403"/>
    </row>
    <row r="190" spans="2:29" s="121" customFormat="1" outlineLevel="1">
      <c r="B190" s="1167"/>
      <c r="C190" s="1168"/>
      <c r="D190" s="1750" t="s">
        <v>290</v>
      </c>
      <c r="E190" s="1751"/>
      <c r="F190" s="1751"/>
      <c r="G190" s="1752"/>
      <c r="H190" s="835"/>
      <c r="I190" s="1327" t="e">
        <f t="shared" si="39"/>
        <v>#DIV/0!</v>
      </c>
      <c r="J190" s="736" t="s">
        <v>365</v>
      </c>
      <c r="K190" s="736" t="s">
        <v>365</v>
      </c>
      <c r="L190" s="1330" t="str">
        <f t="shared" si="40"/>
        <v>Non renseigné</v>
      </c>
      <c r="M190" s="736" t="str">
        <f t="shared" si="41"/>
        <v>-</v>
      </c>
      <c r="N190" s="822" t="e">
        <f t="shared" si="42"/>
        <v>#VALUE!</v>
      </c>
      <c r="O190" s="733" t="e">
        <f t="shared" si="43"/>
        <v>#VALUE!</v>
      </c>
      <c r="P190" s="822" t="e">
        <f t="shared" si="44"/>
        <v>#VALUE!</v>
      </c>
      <c r="Q190" s="823"/>
      <c r="R190" s="942"/>
      <c r="S190" s="402" t="e">
        <f t="shared" si="17"/>
        <v>#VALUE!</v>
      </c>
      <c r="T190" s="402" t="e">
        <f t="shared" si="18"/>
        <v>#VALUE!</v>
      </c>
      <c r="U190" s="402" t="e">
        <f t="shared" si="19"/>
        <v>#VALUE!</v>
      </c>
      <c r="V190" s="402" t="e">
        <f t="shared" si="20"/>
        <v>#VALUE!</v>
      </c>
      <c r="W190" s="402" t="e">
        <f t="shared" si="21"/>
        <v>#VALUE!</v>
      </c>
      <c r="X190" s="402" t="e">
        <f t="shared" si="22"/>
        <v>#VALUE!</v>
      </c>
      <c r="Y190" s="402" t="e">
        <f t="shared" si="23"/>
        <v>#VALUE!</v>
      </c>
      <c r="Z190" s="402" t="e">
        <f t="shared" si="24"/>
        <v>#VALUE!</v>
      </c>
      <c r="AA190" s="402" t="e">
        <f t="shared" si="25"/>
        <v>#VALUE!</v>
      </c>
      <c r="AB190" s="669" t="e">
        <f t="shared" si="26"/>
        <v>#VALUE!</v>
      </c>
      <c r="AC190" s="403"/>
    </row>
    <row r="191" spans="2:29" s="121" customFormat="1" outlineLevel="1">
      <c r="B191" s="1167"/>
      <c r="C191" s="1168"/>
      <c r="D191" s="1750" t="s">
        <v>290</v>
      </c>
      <c r="E191" s="1751"/>
      <c r="F191" s="1751"/>
      <c r="G191" s="1752"/>
      <c r="H191" s="835"/>
      <c r="I191" s="1327" t="e">
        <f t="shared" si="39"/>
        <v>#DIV/0!</v>
      </c>
      <c r="J191" s="736" t="s">
        <v>365</v>
      </c>
      <c r="K191" s="736" t="s">
        <v>365</v>
      </c>
      <c r="L191" s="1330" t="str">
        <f t="shared" si="40"/>
        <v>Non renseigné</v>
      </c>
      <c r="M191" s="736" t="str">
        <f t="shared" si="41"/>
        <v>-</v>
      </c>
      <c r="N191" s="822" t="e">
        <f t="shared" si="42"/>
        <v>#VALUE!</v>
      </c>
      <c r="O191" s="733" t="e">
        <f t="shared" si="43"/>
        <v>#VALUE!</v>
      </c>
      <c r="P191" s="822" t="e">
        <f t="shared" si="44"/>
        <v>#VALUE!</v>
      </c>
      <c r="Q191" s="823"/>
      <c r="R191" s="942"/>
      <c r="S191" s="402" t="e">
        <f t="shared" si="17"/>
        <v>#VALUE!</v>
      </c>
      <c r="T191" s="402" t="e">
        <f t="shared" si="18"/>
        <v>#VALUE!</v>
      </c>
      <c r="U191" s="402" t="e">
        <f t="shared" si="19"/>
        <v>#VALUE!</v>
      </c>
      <c r="V191" s="402" t="e">
        <f t="shared" si="20"/>
        <v>#VALUE!</v>
      </c>
      <c r="W191" s="402" t="e">
        <f t="shared" si="21"/>
        <v>#VALUE!</v>
      </c>
      <c r="X191" s="402" t="e">
        <f t="shared" si="22"/>
        <v>#VALUE!</v>
      </c>
      <c r="Y191" s="402" t="e">
        <f t="shared" si="23"/>
        <v>#VALUE!</v>
      </c>
      <c r="Z191" s="402" t="e">
        <f t="shared" si="24"/>
        <v>#VALUE!</v>
      </c>
      <c r="AA191" s="402" t="e">
        <f t="shared" si="25"/>
        <v>#VALUE!</v>
      </c>
      <c r="AB191" s="669" t="e">
        <f t="shared" si="26"/>
        <v>#VALUE!</v>
      </c>
      <c r="AC191" s="403"/>
    </row>
    <row r="192" spans="2:29" s="121" customFormat="1" outlineLevel="1">
      <c r="B192" s="1167"/>
      <c r="C192" s="1168"/>
      <c r="D192" s="1750" t="s">
        <v>290</v>
      </c>
      <c r="E192" s="1751"/>
      <c r="F192" s="1751"/>
      <c r="G192" s="1752"/>
      <c r="H192" s="835"/>
      <c r="I192" s="1327" t="e">
        <f t="shared" si="39"/>
        <v>#DIV/0!</v>
      </c>
      <c r="J192" s="736" t="s">
        <v>365</v>
      </c>
      <c r="K192" s="736" t="s">
        <v>365</v>
      </c>
      <c r="L192" s="1330" t="str">
        <f t="shared" si="40"/>
        <v>Non renseigné</v>
      </c>
      <c r="M192" s="736" t="str">
        <f t="shared" si="41"/>
        <v>-</v>
      </c>
      <c r="N192" s="822" t="e">
        <f t="shared" si="42"/>
        <v>#VALUE!</v>
      </c>
      <c r="O192" s="733" t="e">
        <f t="shared" si="43"/>
        <v>#VALUE!</v>
      </c>
      <c r="P192" s="822" t="e">
        <f t="shared" si="44"/>
        <v>#VALUE!</v>
      </c>
      <c r="Q192" s="823"/>
      <c r="R192" s="942"/>
      <c r="S192" s="402" t="e">
        <f t="shared" si="17"/>
        <v>#VALUE!</v>
      </c>
      <c r="T192" s="402" t="e">
        <f t="shared" si="18"/>
        <v>#VALUE!</v>
      </c>
      <c r="U192" s="402" t="e">
        <f t="shared" si="19"/>
        <v>#VALUE!</v>
      </c>
      <c r="V192" s="402" t="e">
        <f t="shared" si="20"/>
        <v>#VALUE!</v>
      </c>
      <c r="W192" s="402" t="e">
        <f t="shared" si="21"/>
        <v>#VALUE!</v>
      </c>
      <c r="X192" s="402" t="e">
        <f t="shared" si="22"/>
        <v>#VALUE!</v>
      </c>
      <c r="Y192" s="402" t="e">
        <f t="shared" si="23"/>
        <v>#VALUE!</v>
      </c>
      <c r="Z192" s="402" t="e">
        <f t="shared" si="24"/>
        <v>#VALUE!</v>
      </c>
      <c r="AA192" s="402" t="e">
        <f t="shared" si="25"/>
        <v>#VALUE!</v>
      </c>
      <c r="AB192" s="669" t="e">
        <f t="shared" si="26"/>
        <v>#VALUE!</v>
      </c>
      <c r="AC192" s="403"/>
    </row>
    <row r="193" spans="2:29" s="121" customFormat="1" outlineLevel="1">
      <c r="B193" s="1167"/>
      <c r="C193" s="1168"/>
      <c r="D193" s="1750" t="s">
        <v>290</v>
      </c>
      <c r="E193" s="1751"/>
      <c r="F193" s="1751"/>
      <c r="G193" s="1752"/>
      <c r="H193" s="835"/>
      <c r="I193" s="1327" t="e">
        <f t="shared" si="39"/>
        <v>#DIV/0!</v>
      </c>
      <c r="J193" s="736" t="s">
        <v>365</v>
      </c>
      <c r="K193" s="736" t="s">
        <v>365</v>
      </c>
      <c r="L193" s="1330" t="str">
        <f t="shared" si="40"/>
        <v>Non renseigné</v>
      </c>
      <c r="M193" s="736" t="str">
        <f t="shared" si="41"/>
        <v>-</v>
      </c>
      <c r="N193" s="822" t="e">
        <f t="shared" si="42"/>
        <v>#VALUE!</v>
      </c>
      <c r="O193" s="733" t="e">
        <f t="shared" si="43"/>
        <v>#VALUE!</v>
      </c>
      <c r="P193" s="822" t="e">
        <f t="shared" si="44"/>
        <v>#VALUE!</v>
      </c>
      <c r="Q193" s="823"/>
      <c r="R193" s="942"/>
      <c r="S193" s="402" t="e">
        <f t="shared" si="17"/>
        <v>#VALUE!</v>
      </c>
      <c r="T193" s="402" t="e">
        <f t="shared" si="18"/>
        <v>#VALUE!</v>
      </c>
      <c r="U193" s="402" t="e">
        <f t="shared" si="19"/>
        <v>#VALUE!</v>
      </c>
      <c r="V193" s="402" t="e">
        <f t="shared" si="20"/>
        <v>#VALUE!</v>
      </c>
      <c r="W193" s="402" t="e">
        <f t="shared" si="21"/>
        <v>#VALUE!</v>
      </c>
      <c r="X193" s="402" t="e">
        <f t="shared" si="22"/>
        <v>#VALUE!</v>
      </c>
      <c r="Y193" s="402" t="e">
        <f t="shared" si="23"/>
        <v>#VALUE!</v>
      </c>
      <c r="Z193" s="402" t="e">
        <f t="shared" si="24"/>
        <v>#VALUE!</v>
      </c>
      <c r="AA193" s="402" t="e">
        <f t="shared" si="25"/>
        <v>#VALUE!</v>
      </c>
      <c r="AB193" s="669" t="e">
        <f t="shared" si="26"/>
        <v>#VALUE!</v>
      </c>
      <c r="AC193" s="403"/>
    </row>
    <row r="194" spans="2:29" s="121" customFormat="1" outlineLevel="1">
      <c r="B194" s="1167"/>
      <c r="C194" s="1168"/>
      <c r="D194" s="1750" t="s">
        <v>290</v>
      </c>
      <c r="E194" s="1751"/>
      <c r="F194" s="1751"/>
      <c r="G194" s="1752"/>
      <c r="H194" s="835"/>
      <c r="I194" s="1327" t="e">
        <f t="shared" si="39"/>
        <v>#DIV/0!</v>
      </c>
      <c r="J194" s="736" t="s">
        <v>365</v>
      </c>
      <c r="K194" s="736" t="s">
        <v>365</v>
      </c>
      <c r="L194" s="1330" t="str">
        <f t="shared" si="40"/>
        <v>Non renseigné</v>
      </c>
      <c r="M194" s="736" t="str">
        <f t="shared" si="41"/>
        <v>-</v>
      </c>
      <c r="N194" s="822" t="e">
        <f t="shared" si="42"/>
        <v>#VALUE!</v>
      </c>
      <c r="O194" s="733" t="e">
        <f t="shared" si="43"/>
        <v>#VALUE!</v>
      </c>
      <c r="P194" s="822" t="e">
        <f t="shared" si="44"/>
        <v>#VALUE!</v>
      </c>
      <c r="Q194" s="823"/>
      <c r="R194" s="942"/>
      <c r="S194" s="402" t="e">
        <f t="shared" si="17"/>
        <v>#VALUE!</v>
      </c>
      <c r="T194" s="402" t="e">
        <f t="shared" si="18"/>
        <v>#VALUE!</v>
      </c>
      <c r="U194" s="402" t="e">
        <f t="shared" si="19"/>
        <v>#VALUE!</v>
      </c>
      <c r="V194" s="402" t="e">
        <f t="shared" si="20"/>
        <v>#VALUE!</v>
      </c>
      <c r="W194" s="402" t="e">
        <f t="shared" si="21"/>
        <v>#VALUE!</v>
      </c>
      <c r="X194" s="402" t="e">
        <f t="shared" si="22"/>
        <v>#VALUE!</v>
      </c>
      <c r="Y194" s="402" t="e">
        <f t="shared" si="23"/>
        <v>#VALUE!</v>
      </c>
      <c r="Z194" s="402" t="e">
        <f t="shared" si="24"/>
        <v>#VALUE!</v>
      </c>
      <c r="AA194" s="402" t="e">
        <f t="shared" si="25"/>
        <v>#VALUE!</v>
      </c>
      <c r="AB194" s="669" t="e">
        <f t="shared" si="26"/>
        <v>#VALUE!</v>
      </c>
      <c r="AC194" s="403"/>
    </row>
    <row r="195" spans="2:29" s="121" customFormat="1" outlineLevel="1">
      <c r="B195" s="1167"/>
      <c r="C195" s="1168"/>
      <c r="D195" s="1750" t="s">
        <v>290</v>
      </c>
      <c r="E195" s="1751"/>
      <c r="F195" s="1751"/>
      <c r="G195" s="1752"/>
      <c r="H195" s="835"/>
      <c r="I195" s="1327" t="e">
        <f t="shared" si="39"/>
        <v>#DIV/0!</v>
      </c>
      <c r="J195" s="736" t="s">
        <v>365</v>
      </c>
      <c r="K195" s="736" t="s">
        <v>365</v>
      </c>
      <c r="L195" s="1330" t="str">
        <f t="shared" si="40"/>
        <v>Non renseigné</v>
      </c>
      <c r="M195" s="736" t="str">
        <f t="shared" si="41"/>
        <v>-</v>
      </c>
      <c r="N195" s="822" t="e">
        <f t="shared" si="42"/>
        <v>#VALUE!</v>
      </c>
      <c r="O195" s="733" t="e">
        <f t="shared" si="43"/>
        <v>#VALUE!</v>
      </c>
      <c r="P195" s="822" t="e">
        <f t="shared" si="44"/>
        <v>#VALUE!</v>
      </c>
      <c r="Q195" s="823"/>
      <c r="R195" s="942"/>
      <c r="S195" s="402" t="e">
        <f t="shared" si="17"/>
        <v>#VALUE!</v>
      </c>
      <c r="T195" s="402" t="e">
        <f t="shared" si="18"/>
        <v>#VALUE!</v>
      </c>
      <c r="U195" s="402" t="e">
        <f t="shared" si="19"/>
        <v>#VALUE!</v>
      </c>
      <c r="V195" s="402" t="e">
        <f t="shared" si="20"/>
        <v>#VALUE!</v>
      </c>
      <c r="W195" s="402" t="e">
        <f t="shared" si="21"/>
        <v>#VALUE!</v>
      </c>
      <c r="X195" s="402" t="e">
        <f t="shared" si="22"/>
        <v>#VALUE!</v>
      </c>
      <c r="Y195" s="402" t="e">
        <f t="shared" si="23"/>
        <v>#VALUE!</v>
      </c>
      <c r="Z195" s="402" t="e">
        <f t="shared" si="24"/>
        <v>#VALUE!</v>
      </c>
      <c r="AA195" s="402" t="e">
        <f t="shared" si="25"/>
        <v>#VALUE!</v>
      </c>
      <c r="AB195" s="669" t="e">
        <f t="shared" si="26"/>
        <v>#VALUE!</v>
      </c>
      <c r="AC195" s="403"/>
    </row>
    <row r="196" spans="2:29" outlineLevel="1">
      <c r="B196" s="1167"/>
      <c r="C196" s="1168"/>
      <c r="D196" s="1750" t="s">
        <v>290</v>
      </c>
      <c r="E196" s="1751"/>
      <c r="F196" s="1751"/>
      <c r="G196" s="1752"/>
      <c r="H196" s="835"/>
      <c r="I196" s="1327" t="e">
        <f t="shared" si="39"/>
        <v>#DIV/0!</v>
      </c>
      <c r="J196" s="736" t="s">
        <v>365</v>
      </c>
      <c r="K196" s="736" t="s">
        <v>365</v>
      </c>
      <c r="L196" s="1330" t="str">
        <f t="shared" si="40"/>
        <v>Non renseigné</v>
      </c>
      <c r="M196" s="736" t="str">
        <f t="shared" si="41"/>
        <v>-</v>
      </c>
      <c r="N196" s="822" t="e">
        <f t="shared" si="42"/>
        <v>#VALUE!</v>
      </c>
      <c r="O196" s="733" t="e">
        <f t="shared" si="43"/>
        <v>#VALUE!</v>
      </c>
      <c r="P196" s="822" t="e">
        <f t="shared" si="44"/>
        <v>#VALUE!</v>
      </c>
      <c r="Q196" s="823"/>
      <c r="R196" s="942"/>
      <c r="S196" s="402" t="e">
        <f t="shared" si="17"/>
        <v>#VALUE!</v>
      </c>
      <c r="T196" s="402" t="e">
        <f t="shared" si="18"/>
        <v>#VALUE!</v>
      </c>
      <c r="U196" s="402" t="e">
        <f t="shared" si="19"/>
        <v>#VALUE!</v>
      </c>
      <c r="V196" s="402" t="e">
        <f t="shared" si="20"/>
        <v>#VALUE!</v>
      </c>
      <c r="W196" s="402" t="e">
        <f t="shared" si="21"/>
        <v>#VALUE!</v>
      </c>
      <c r="X196" s="402" t="e">
        <f t="shared" si="22"/>
        <v>#VALUE!</v>
      </c>
      <c r="Y196" s="402" t="e">
        <f t="shared" si="23"/>
        <v>#VALUE!</v>
      </c>
      <c r="Z196" s="402" t="e">
        <f t="shared" si="24"/>
        <v>#VALUE!</v>
      </c>
      <c r="AA196" s="402" t="e">
        <f t="shared" si="25"/>
        <v>#VALUE!</v>
      </c>
      <c r="AB196" s="669" t="e">
        <f t="shared" si="26"/>
        <v>#VALUE!</v>
      </c>
    </row>
    <row r="197" spans="2:29" s="121" customFormat="1" outlineLevel="1">
      <c r="B197" s="1167"/>
      <c r="C197" s="1168"/>
      <c r="D197" s="1750" t="s">
        <v>290</v>
      </c>
      <c r="E197" s="1751"/>
      <c r="F197" s="1751"/>
      <c r="G197" s="1752"/>
      <c r="H197" s="835"/>
      <c r="I197" s="1327" t="e">
        <f t="shared" si="39"/>
        <v>#DIV/0!</v>
      </c>
      <c r="J197" s="736" t="s">
        <v>365</v>
      </c>
      <c r="K197" s="736" t="s">
        <v>365</v>
      </c>
      <c r="L197" s="1330" t="str">
        <f t="shared" si="40"/>
        <v>Non renseigné</v>
      </c>
      <c r="M197" s="736" t="str">
        <f t="shared" si="41"/>
        <v>-</v>
      </c>
      <c r="N197" s="822" t="e">
        <f t="shared" si="42"/>
        <v>#VALUE!</v>
      </c>
      <c r="O197" s="733" t="e">
        <f t="shared" si="43"/>
        <v>#VALUE!</v>
      </c>
      <c r="P197" s="822" t="e">
        <f t="shared" si="44"/>
        <v>#VALUE!</v>
      </c>
      <c r="Q197" s="823"/>
      <c r="R197" s="942"/>
      <c r="S197" s="402" t="e">
        <f t="shared" si="17"/>
        <v>#VALUE!</v>
      </c>
      <c r="T197" s="402" t="e">
        <f t="shared" si="18"/>
        <v>#VALUE!</v>
      </c>
      <c r="U197" s="402" t="e">
        <f t="shared" si="19"/>
        <v>#VALUE!</v>
      </c>
      <c r="V197" s="402" t="e">
        <f t="shared" si="20"/>
        <v>#VALUE!</v>
      </c>
      <c r="W197" s="402" t="e">
        <f t="shared" si="21"/>
        <v>#VALUE!</v>
      </c>
      <c r="X197" s="402" t="e">
        <f t="shared" si="22"/>
        <v>#VALUE!</v>
      </c>
      <c r="Y197" s="402" t="e">
        <f t="shared" si="23"/>
        <v>#VALUE!</v>
      </c>
      <c r="Z197" s="402" t="e">
        <f t="shared" si="24"/>
        <v>#VALUE!</v>
      </c>
      <c r="AA197" s="402" t="e">
        <f t="shared" si="25"/>
        <v>#VALUE!</v>
      </c>
      <c r="AB197" s="669" t="e">
        <f t="shared" si="26"/>
        <v>#VALUE!</v>
      </c>
      <c r="AC197" s="403"/>
    </row>
    <row r="198" spans="2:29" s="121" customFormat="1" outlineLevel="1">
      <c r="B198" s="1167"/>
      <c r="C198" s="1168"/>
      <c r="D198" s="1750" t="s">
        <v>290</v>
      </c>
      <c r="E198" s="1751"/>
      <c r="F198" s="1751"/>
      <c r="G198" s="1752"/>
      <c r="H198" s="835"/>
      <c r="I198" s="1327" t="e">
        <f t="shared" si="39"/>
        <v>#DIV/0!</v>
      </c>
      <c r="J198" s="736" t="s">
        <v>365</v>
      </c>
      <c r="K198" s="736" t="s">
        <v>365</v>
      </c>
      <c r="L198" s="1330" t="str">
        <f t="shared" si="40"/>
        <v>Non renseigné</v>
      </c>
      <c r="M198" s="736" t="str">
        <f t="shared" si="41"/>
        <v>-</v>
      </c>
      <c r="N198" s="822" t="e">
        <f t="shared" si="42"/>
        <v>#VALUE!</v>
      </c>
      <c r="O198" s="733" t="e">
        <f t="shared" si="43"/>
        <v>#VALUE!</v>
      </c>
      <c r="P198" s="822" t="e">
        <f t="shared" si="44"/>
        <v>#VALUE!</v>
      </c>
      <c r="Q198" s="823"/>
      <c r="R198" s="942"/>
      <c r="S198" s="402" t="e">
        <f t="shared" si="17"/>
        <v>#VALUE!</v>
      </c>
      <c r="T198" s="402" t="e">
        <f t="shared" si="18"/>
        <v>#VALUE!</v>
      </c>
      <c r="U198" s="402" t="e">
        <f t="shared" si="19"/>
        <v>#VALUE!</v>
      </c>
      <c r="V198" s="402" t="e">
        <f t="shared" si="20"/>
        <v>#VALUE!</v>
      </c>
      <c r="W198" s="402" t="e">
        <f t="shared" si="21"/>
        <v>#VALUE!</v>
      </c>
      <c r="X198" s="402" t="e">
        <f t="shared" si="22"/>
        <v>#VALUE!</v>
      </c>
      <c r="Y198" s="402" t="e">
        <f t="shared" si="23"/>
        <v>#VALUE!</v>
      </c>
      <c r="Z198" s="402" t="e">
        <f t="shared" si="24"/>
        <v>#VALUE!</v>
      </c>
      <c r="AA198" s="402" t="e">
        <f t="shared" si="25"/>
        <v>#VALUE!</v>
      </c>
      <c r="AB198" s="669" t="e">
        <f t="shared" si="26"/>
        <v>#VALUE!</v>
      </c>
      <c r="AC198" s="403"/>
    </row>
    <row r="199" spans="2:29" s="121" customFormat="1" outlineLevel="1">
      <c r="B199" s="1167"/>
      <c r="C199" s="1168"/>
      <c r="D199" s="1750" t="s">
        <v>290</v>
      </c>
      <c r="E199" s="1751"/>
      <c r="F199" s="1751"/>
      <c r="G199" s="1752"/>
      <c r="H199" s="835"/>
      <c r="I199" s="1327" t="e">
        <f t="shared" si="39"/>
        <v>#DIV/0!</v>
      </c>
      <c r="J199" s="736" t="s">
        <v>365</v>
      </c>
      <c r="K199" s="736" t="s">
        <v>365</v>
      </c>
      <c r="L199" s="1330" t="str">
        <f t="shared" si="40"/>
        <v>Non renseigné</v>
      </c>
      <c r="M199" s="736" t="str">
        <f t="shared" si="41"/>
        <v>-</v>
      </c>
      <c r="N199" s="822" t="e">
        <f t="shared" si="42"/>
        <v>#VALUE!</v>
      </c>
      <c r="O199" s="733" t="e">
        <f t="shared" si="43"/>
        <v>#VALUE!</v>
      </c>
      <c r="P199" s="822" t="e">
        <f t="shared" si="44"/>
        <v>#VALUE!</v>
      </c>
      <c r="Q199" s="823"/>
      <c r="R199" s="942"/>
      <c r="S199" s="402" t="e">
        <f t="shared" si="17"/>
        <v>#VALUE!</v>
      </c>
      <c r="T199" s="402" t="e">
        <f t="shared" si="18"/>
        <v>#VALUE!</v>
      </c>
      <c r="U199" s="402" t="e">
        <f t="shared" si="19"/>
        <v>#VALUE!</v>
      </c>
      <c r="V199" s="402" t="e">
        <f t="shared" si="20"/>
        <v>#VALUE!</v>
      </c>
      <c r="W199" s="402" t="e">
        <f t="shared" si="21"/>
        <v>#VALUE!</v>
      </c>
      <c r="X199" s="402" t="e">
        <f t="shared" si="22"/>
        <v>#VALUE!</v>
      </c>
      <c r="Y199" s="402" t="e">
        <f t="shared" si="23"/>
        <v>#VALUE!</v>
      </c>
      <c r="Z199" s="402" t="e">
        <f t="shared" si="24"/>
        <v>#VALUE!</v>
      </c>
      <c r="AA199" s="402" t="e">
        <f t="shared" si="25"/>
        <v>#VALUE!</v>
      </c>
      <c r="AB199" s="669" t="e">
        <f t="shared" si="26"/>
        <v>#VALUE!</v>
      </c>
      <c r="AC199" s="403"/>
    </row>
    <row r="200" spans="2:29" s="121" customFormat="1" outlineLevel="1">
      <c r="B200" s="1167"/>
      <c r="C200" s="1168"/>
      <c r="D200" s="1750" t="s">
        <v>290</v>
      </c>
      <c r="E200" s="1751"/>
      <c r="F200" s="1751"/>
      <c r="G200" s="1752"/>
      <c r="H200" s="835"/>
      <c r="I200" s="1327" t="e">
        <f t="shared" si="39"/>
        <v>#DIV/0!</v>
      </c>
      <c r="J200" s="736" t="s">
        <v>365</v>
      </c>
      <c r="K200" s="736" t="s">
        <v>365</v>
      </c>
      <c r="L200" s="1330" t="str">
        <f t="shared" si="40"/>
        <v>Non renseigné</v>
      </c>
      <c r="M200" s="736" t="str">
        <f t="shared" si="41"/>
        <v>-</v>
      </c>
      <c r="N200" s="822" t="e">
        <f t="shared" si="42"/>
        <v>#VALUE!</v>
      </c>
      <c r="O200" s="733" t="e">
        <f t="shared" si="43"/>
        <v>#VALUE!</v>
      </c>
      <c r="P200" s="822" t="e">
        <f t="shared" si="44"/>
        <v>#VALUE!</v>
      </c>
      <c r="Q200" s="823"/>
      <c r="R200" s="942"/>
      <c r="S200" s="402" t="e">
        <f t="shared" si="17"/>
        <v>#VALUE!</v>
      </c>
      <c r="T200" s="402" t="e">
        <f t="shared" si="18"/>
        <v>#VALUE!</v>
      </c>
      <c r="U200" s="402" t="e">
        <f t="shared" si="19"/>
        <v>#VALUE!</v>
      </c>
      <c r="V200" s="402" t="e">
        <f t="shared" si="20"/>
        <v>#VALUE!</v>
      </c>
      <c r="W200" s="402" t="e">
        <f t="shared" si="21"/>
        <v>#VALUE!</v>
      </c>
      <c r="X200" s="402" t="e">
        <f t="shared" si="22"/>
        <v>#VALUE!</v>
      </c>
      <c r="Y200" s="402" t="e">
        <f t="shared" si="23"/>
        <v>#VALUE!</v>
      </c>
      <c r="Z200" s="402" t="e">
        <f t="shared" si="24"/>
        <v>#VALUE!</v>
      </c>
      <c r="AA200" s="402" t="e">
        <f t="shared" si="25"/>
        <v>#VALUE!</v>
      </c>
      <c r="AB200" s="669" t="e">
        <f t="shared" si="26"/>
        <v>#VALUE!</v>
      </c>
      <c r="AC200" s="403"/>
    </row>
    <row r="201" spans="2:29" s="121" customFormat="1" outlineLevel="1">
      <c r="B201" s="1167"/>
      <c r="C201" s="1168"/>
      <c r="D201" s="1750" t="s">
        <v>290</v>
      </c>
      <c r="E201" s="1751"/>
      <c r="F201" s="1751"/>
      <c r="G201" s="1752"/>
      <c r="H201" s="835"/>
      <c r="I201" s="1327" t="e">
        <f t="shared" si="39"/>
        <v>#DIV/0!</v>
      </c>
      <c r="J201" s="736" t="s">
        <v>365</v>
      </c>
      <c r="K201" s="736" t="s">
        <v>365</v>
      </c>
      <c r="L201" s="1330" t="str">
        <f t="shared" si="40"/>
        <v>Non renseigné</v>
      </c>
      <c r="M201" s="736" t="str">
        <f t="shared" si="41"/>
        <v>-</v>
      </c>
      <c r="N201" s="822" t="e">
        <f t="shared" si="42"/>
        <v>#VALUE!</v>
      </c>
      <c r="O201" s="733" t="e">
        <f t="shared" si="43"/>
        <v>#VALUE!</v>
      </c>
      <c r="P201" s="822" t="e">
        <f t="shared" si="44"/>
        <v>#VALUE!</v>
      </c>
      <c r="Q201" s="823"/>
      <c r="R201" s="942"/>
      <c r="S201" s="402" t="e">
        <f t="shared" si="17"/>
        <v>#VALUE!</v>
      </c>
      <c r="T201" s="402" t="e">
        <f t="shared" si="18"/>
        <v>#VALUE!</v>
      </c>
      <c r="U201" s="402" t="e">
        <f t="shared" si="19"/>
        <v>#VALUE!</v>
      </c>
      <c r="V201" s="402" t="e">
        <f t="shared" si="20"/>
        <v>#VALUE!</v>
      </c>
      <c r="W201" s="402" t="e">
        <f t="shared" si="21"/>
        <v>#VALUE!</v>
      </c>
      <c r="X201" s="402" t="e">
        <f t="shared" si="22"/>
        <v>#VALUE!</v>
      </c>
      <c r="Y201" s="402" t="e">
        <f t="shared" si="23"/>
        <v>#VALUE!</v>
      </c>
      <c r="Z201" s="402" t="e">
        <f t="shared" si="24"/>
        <v>#VALUE!</v>
      </c>
      <c r="AA201" s="402" t="e">
        <f t="shared" si="25"/>
        <v>#VALUE!</v>
      </c>
      <c r="AB201" s="669" t="e">
        <f t="shared" si="26"/>
        <v>#VALUE!</v>
      </c>
      <c r="AC201" s="403"/>
    </row>
    <row r="202" spans="2:29" s="121" customFormat="1" outlineLevel="1">
      <c r="B202" s="1167"/>
      <c r="C202" s="1168"/>
      <c r="D202" s="1750" t="s">
        <v>290</v>
      </c>
      <c r="E202" s="1751"/>
      <c r="F202" s="1751"/>
      <c r="G202" s="1752"/>
      <c r="H202" s="835"/>
      <c r="I202" s="1327" t="e">
        <f t="shared" si="39"/>
        <v>#DIV/0!</v>
      </c>
      <c r="J202" s="736" t="s">
        <v>365</v>
      </c>
      <c r="K202" s="736" t="s">
        <v>365</v>
      </c>
      <c r="L202" s="1330" t="str">
        <f t="shared" si="40"/>
        <v>Non renseigné</v>
      </c>
      <c r="M202" s="736" t="str">
        <f t="shared" si="41"/>
        <v>-</v>
      </c>
      <c r="N202" s="822" t="e">
        <f t="shared" si="42"/>
        <v>#VALUE!</v>
      </c>
      <c r="O202" s="733" t="e">
        <f t="shared" si="43"/>
        <v>#VALUE!</v>
      </c>
      <c r="P202" s="822" t="e">
        <f t="shared" si="44"/>
        <v>#VALUE!</v>
      </c>
      <c r="Q202" s="823"/>
      <c r="R202" s="942"/>
      <c r="S202" s="402" t="e">
        <f t="shared" si="17"/>
        <v>#VALUE!</v>
      </c>
      <c r="T202" s="402" t="e">
        <f t="shared" si="18"/>
        <v>#VALUE!</v>
      </c>
      <c r="U202" s="402" t="e">
        <f t="shared" si="19"/>
        <v>#VALUE!</v>
      </c>
      <c r="V202" s="402" t="e">
        <f t="shared" si="20"/>
        <v>#VALUE!</v>
      </c>
      <c r="W202" s="402" t="e">
        <f t="shared" si="21"/>
        <v>#VALUE!</v>
      </c>
      <c r="X202" s="402" t="e">
        <f t="shared" si="22"/>
        <v>#VALUE!</v>
      </c>
      <c r="Y202" s="402" t="e">
        <f t="shared" si="23"/>
        <v>#VALUE!</v>
      </c>
      <c r="Z202" s="402" t="e">
        <f t="shared" si="24"/>
        <v>#VALUE!</v>
      </c>
      <c r="AA202" s="402" t="e">
        <f t="shared" si="25"/>
        <v>#VALUE!</v>
      </c>
      <c r="AB202" s="669" t="e">
        <f t="shared" si="26"/>
        <v>#VALUE!</v>
      </c>
      <c r="AC202" s="403"/>
    </row>
    <row r="203" spans="2:29" s="121" customFormat="1" outlineLevel="1">
      <c r="B203" s="1167"/>
      <c r="C203" s="1168"/>
      <c r="D203" s="1750" t="s">
        <v>290</v>
      </c>
      <c r="E203" s="1751"/>
      <c r="F203" s="1751"/>
      <c r="G203" s="1752"/>
      <c r="H203" s="835"/>
      <c r="I203" s="1327" t="e">
        <f t="shared" si="39"/>
        <v>#DIV/0!</v>
      </c>
      <c r="J203" s="736" t="s">
        <v>365</v>
      </c>
      <c r="K203" s="736" t="s">
        <v>365</v>
      </c>
      <c r="L203" s="1330" t="str">
        <f t="shared" si="40"/>
        <v>Non renseigné</v>
      </c>
      <c r="M203" s="736" t="str">
        <f t="shared" si="41"/>
        <v>-</v>
      </c>
      <c r="N203" s="822" t="e">
        <f t="shared" si="42"/>
        <v>#VALUE!</v>
      </c>
      <c r="O203" s="733" t="e">
        <f t="shared" si="43"/>
        <v>#VALUE!</v>
      </c>
      <c r="P203" s="822" t="e">
        <f t="shared" si="44"/>
        <v>#VALUE!</v>
      </c>
      <c r="Q203" s="823"/>
      <c r="R203" s="942"/>
      <c r="S203" s="402" t="e">
        <f t="shared" si="17"/>
        <v>#VALUE!</v>
      </c>
      <c r="T203" s="402" t="e">
        <f t="shared" si="18"/>
        <v>#VALUE!</v>
      </c>
      <c r="U203" s="402" t="e">
        <f t="shared" si="19"/>
        <v>#VALUE!</v>
      </c>
      <c r="V203" s="402" t="e">
        <f t="shared" si="20"/>
        <v>#VALUE!</v>
      </c>
      <c r="W203" s="402" t="e">
        <f t="shared" si="21"/>
        <v>#VALUE!</v>
      </c>
      <c r="X203" s="402" t="e">
        <f t="shared" si="22"/>
        <v>#VALUE!</v>
      </c>
      <c r="Y203" s="402" t="e">
        <f t="shared" si="23"/>
        <v>#VALUE!</v>
      </c>
      <c r="Z203" s="402" t="e">
        <f t="shared" si="24"/>
        <v>#VALUE!</v>
      </c>
      <c r="AA203" s="402" t="e">
        <f t="shared" si="25"/>
        <v>#VALUE!</v>
      </c>
      <c r="AB203" s="669" t="e">
        <f t="shared" si="26"/>
        <v>#VALUE!</v>
      </c>
      <c r="AC203" s="403"/>
    </row>
    <row r="204" spans="2:29" s="121" customFormat="1" outlineLevel="1">
      <c r="B204" s="1167"/>
      <c r="C204" s="1168"/>
      <c r="D204" s="1750" t="s">
        <v>290</v>
      </c>
      <c r="E204" s="1751"/>
      <c r="F204" s="1751"/>
      <c r="G204" s="1752"/>
      <c r="H204" s="835"/>
      <c r="I204" s="1327" t="e">
        <f t="shared" si="39"/>
        <v>#DIV/0!</v>
      </c>
      <c r="J204" s="736" t="s">
        <v>365</v>
      </c>
      <c r="K204" s="736" t="s">
        <v>365</v>
      </c>
      <c r="L204" s="1330" t="str">
        <f t="shared" si="40"/>
        <v>Non renseigné</v>
      </c>
      <c r="M204" s="736" t="str">
        <f t="shared" si="41"/>
        <v>-</v>
      </c>
      <c r="N204" s="822" t="e">
        <f t="shared" si="42"/>
        <v>#VALUE!</v>
      </c>
      <c r="O204" s="733" t="e">
        <f t="shared" si="43"/>
        <v>#VALUE!</v>
      </c>
      <c r="P204" s="822" t="e">
        <f t="shared" si="44"/>
        <v>#VALUE!</v>
      </c>
      <c r="Q204" s="823"/>
      <c r="R204" s="942"/>
      <c r="S204" s="402" t="e">
        <f t="shared" si="17"/>
        <v>#VALUE!</v>
      </c>
      <c r="T204" s="402" t="e">
        <f t="shared" si="18"/>
        <v>#VALUE!</v>
      </c>
      <c r="U204" s="402" t="e">
        <f t="shared" si="19"/>
        <v>#VALUE!</v>
      </c>
      <c r="V204" s="402" t="e">
        <f t="shared" si="20"/>
        <v>#VALUE!</v>
      </c>
      <c r="W204" s="402" t="e">
        <f t="shared" si="21"/>
        <v>#VALUE!</v>
      </c>
      <c r="X204" s="402" t="e">
        <f t="shared" si="22"/>
        <v>#VALUE!</v>
      </c>
      <c r="Y204" s="402" t="e">
        <f t="shared" si="23"/>
        <v>#VALUE!</v>
      </c>
      <c r="Z204" s="402" t="e">
        <f t="shared" si="24"/>
        <v>#VALUE!</v>
      </c>
      <c r="AA204" s="402" t="e">
        <f t="shared" si="25"/>
        <v>#VALUE!</v>
      </c>
      <c r="AB204" s="669" t="e">
        <f t="shared" si="26"/>
        <v>#VALUE!</v>
      </c>
      <c r="AC204" s="403"/>
    </row>
    <row r="205" spans="2:29" s="121" customFormat="1" outlineLevel="1">
      <c r="B205" s="1167"/>
      <c r="C205" s="1168"/>
      <c r="D205" s="1750" t="s">
        <v>290</v>
      </c>
      <c r="E205" s="1751"/>
      <c r="F205" s="1751"/>
      <c r="G205" s="1752"/>
      <c r="H205" s="835"/>
      <c r="I205" s="1327" t="e">
        <f t="shared" si="39"/>
        <v>#DIV/0!</v>
      </c>
      <c r="J205" s="736" t="s">
        <v>365</v>
      </c>
      <c r="K205" s="736" t="s">
        <v>365</v>
      </c>
      <c r="L205" s="1330" t="str">
        <f t="shared" si="40"/>
        <v>Non renseigné</v>
      </c>
      <c r="M205" s="736" t="str">
        <f t="shared" si="41"/>
        <v>-</v>
      </c>
      <c r="N205" s="822" t="e">
        <f t="shared" si="42"/>
        <v>#VALUE!</v>
      </c>
      <c r="O205" s="733" t="e">
        <f t="shared" si="43"/>
        <v>#VALUE!</v>
      </c>
      <c r="P205" s="822" t="e">
        <f t="shared" si="44"/>
        <v>#VALUE!</v>
      </c>
      <c r="Q205" s="823"/>
      <c r="R205" s="942"/>
      <c r="S205" s="402" t="e">
        <f t="shared" si="17"/>
        <v>#VALUE!</v>
      </c>
      <c r="T205" s="402" t="e">
        <f t="shared" si="18"/>
        <v>#VALUE!</v>
      </c>
      <c r="U205" s="402" t="e">
        <f t="shared" si="19"/>
        <v>#VALUE!</v>
      </c>
      <c r="V205" s="402" t="e">
        <f t="shared" si="20"/>
        <v>#VALUE!</v>
      </c>
      <c r="W205" s="402" t="e">
        <f t="shared" si="21"/>
        <v>#VALUE!</v>
      </c>
      <c r="X205" s="402" t="e">
        <f t="shared" si="22"/>
        <v>#VALUE!</v>
      </c>
      <c r="Y205" s="402" t="e">
        <f t="shared" si="23"/>
        <v>#VALUE!</v>
      </c>
      <c r="Z205" s="402" t="e">
        <f t="shared" si="24"/>
        <v>#VALUE!</v>
      </c>
      <c r="AA205" s="402" t="e">
        <f t="shared" si="25"/>
        <v>#VALUE!</v>
      </c>
      <c r="AB205" s="669" t="e">
        <f t="shared" si="26"/>
        <v>#VALUE!</v>
      </c>
      <c r="AC205" s="403"/>
    </row>
    <row r="206" spans="2:29" outlineLevel="1">
      <c r="B206" s="1167"/>
      <c r="C206" s="1168"/>
      <c r="D206" s="1750" t="s">
        <v>290</v>
      </c>
      <c r="E206" s="1751"/>
      <c r="F206" s="1751"/>
      <c r="G206" s="1752"/>
      <c r="H206" s="835"/>
      <c r="I206" s="1327" t="e">
        <f t="shared" si="39"/>
        <v>#DIV/0!</v>
      </c>
      <c r="J206" s="736" t="s">
        <v>365</v>
      </c>
      <c r="K206" s="736" t="s">
        <v>365</v>
      </c>
      <c r="L206" s="1330" t="str">
        <f t="shared" si="40"/>
        <v>Non renseigné</v>
      </c>
      <c r="M206" s="736" t="str">
        <f t="shared" si="41"/>
        <v>-</v>
      </c>
      <c r="N206" s="822" t="e">
        <f t="shared" si="42"/>
        <v>#VALUE!</v>
      </c>
      <c r="O206" s="733" t="e">
        <f t="shared" si="43"/>
        <v>#VALUE!</v>
      </c>
      <c r="P206" s="822" t="e">
        <f t="shared" si="44"/>
        <v>#VALUE!</v>
      </c>
      <c r="Q206" s="823"/>
      <c r="R206" s="942"/>
      <c r="S206" s="402" t="e">
        <f t="shared" si="17"/>
        <v>#VALUE!</v>
      </c>
      <c r="T206" s="402" t="e">
        <f t="shared" si="18"/>
        <v>#VALUE!</v>
      </c>
      <c r="U206" s="402" t="e">
        <f t="shared" si="19"/>
        <v>#VALUE!</v>
      </c>
      <c r="V206" s="402" t="e">
        <f t="shared" si="20"/>
        <v>#VALUE!</v>
      </c>
      <c r="W206" s="402" t="e">
        <f t="shared" si="21"/>
        <v>#VALUE!</v>
      </c>
      <c r="X206" s="402" t="e">
        <f t="shared" si="22"/>
        <v>#VALUE!</v>
      </c>
      <c r="Y206" s="402" t="e">
        <f t="shared" si="23"/>
        <v>#VALUE!</v>
      </c>
      <c r="Z206" s="402" t="e">
        <f t="shared" si="24"/>
        <v>#VALUE!</v>
      </c>
      <c r="AA206" s="402" t="e">
        <f t="shared" si="25"/>
        <v>#VALUE!</v>
      </c>
      <c r="AB206" s="669" t="e">
        <f t="shared" si="26"/>
        <v>#VALUE!</v>
      </c>
    </row>
    <row r="207" spans="2:29" s="121" customFormat="1" outlineLevel="1">
      <c r="B207" s="1167"/>
      <c r="C207" s="1168"/>
      <c r="D207" s="1750" t="s">
        <v>290</v>
      </c>
      <c r="E207" s="1751"/>
      <c r="F207" s="1751"/>
      <c r="G207" s="1752"/>
      <c r="H207" s="835"/>
      <c r="I207" s="1327" t="e">
        <f t="shared" si="39"/>
        <v>#DIV/0!</v>
      </c>
      <c r="J207" s="736" t="s">
        <v>365</v>
      </c>
      <c r="K207" s="736" t="s">
        <v>365</v>
      </c>
      <c r="L207" s="1330" t="str">
        <f t="shared" si="40"/>
        <v>Non renseigné</v>
      </c>
      <c r="M207" s="736" t="str">
        <f t="shared" si="41"/>
        <v>-</v>
      </c>
      <c r="N207" s="822" t="e">
        <f t="shared" si="42"/>
        <v>#VALUE!</v>
      </c>
      <c r="O207" s="733" t="e">
        <f t="shared" si="43"/>
        <v>#VALUE!</v>
      </c>
      <c r="P207" s="822" t="e">
        <f t="shared" si="44"/>
        <v>#VALUE!</v>
      </c>
      <c r="Q207" s="823"/>
      <c r="R207" s="942"/>
      <c r="S207" s="402" t="e">
        <f t="shared" si="17"/>
        <v>#VALUE!</v>
      </c>
      <c r="T207" s="402" t="e">
        <f t="shared" si="18"/>
        <v>#VALUE!</v>
      </c>
      <c r="U207" s="402" t="e">
        <f t="shared" si="19"/>
        <v>#VALUE!</v>
      </c>
      <c r="V207" s="402" t="e">
        <f t="shared" si="20"/>
        <v>#VALUE!</v>
      </c>
      <c r="W207" s="402" t="e">
        <f t="shared" si="21"/>
        <v>#VALUE!</v>
      </c>
      <c r="X207" s="402" t="e">
        <f t="shared" si="22"/>
        <v>#VALUE!</v>
      </c>
      <c r="Y207" s="402" t="e">
        <f t="shared" si="23"/>
        <v>#VALUE!</v>
      </c>
      <c r="Z207" s="402" t="e">
        <f t="shared" si="24"/>
        <v>#VALUE!</v>
      </c>
      <c r="AA207" s="402" t="e">
        <f t="shared" si="25"/>
        <v>#VALUE!</v>
      </c>
      <c r="AB207" s="669" t="e">
        <f t="shared" si="26"/>
        <v>#VALUE!</v>
      </c>
      <c r="AC207" s="403"/>
    </row>
    <row r="208" spans="2:29" s="121" customFormat="1" outlineLevel="1">
      <c r="B208" s="1167"/>
      <c r="C208" s="1168"/>
      <c r="D208" s="1750" t="s">
        <v>290</v>
      </c>
      <c r="E208" s="1751"/>
      <c r="F208" s="1751"/>
      <c r="G208" s="1752"/>
      <c r="H208" s="835"/>
      <c r="I208" s="1327" t="e">
        <f t="shared" si="39"/>
        <v>#DIV/0!</v>
      </c>
      <c r="J208" s="736" t="s">
        <v>365</v>
      </c>
      <c r="K208" s="736" t="s">
        <v>365</v>
      </c>
      <c r="L208" s="1330" t="str">
        <f t="shared" si="40"/>
        <v>Non renseigné</v>
      </c>
      <c r="M208" s="736" t="str">
        <f t="shared" si="41"/>
        <v>-</v>
      </c>
      <c r="N208" s="822" t="e">
        <f t="shared" si="42"/>
        <v>#VALUE!</v>
      </c>
      <c r="O208" s="733" t="e">
        <f t="shared" si="43"/>
        <v>#VALUE!</v>
      </c>
      <c r="P208" s="822" t="e">
        <f t="shared" si="44"/>
        <v>#VALUE!</v>
      </c>
      <c r="Q208" s="823"/>
      <c r="R208" s="942"/>
      <c r="S208" s="402" t="e">
        <f t="shared" si="17"/>
        <v>#VALUE!</v>
      </c>
      <c r="T208" s="402" t="e">
        <f t="shared" si="18"/>
        <v>#VALUE!</v>
      </c>
      <c r="U208" s="402" t="e">
        <f t="shared" si="19"/>
        <v>#VALUE!</v>
      </c>
      <c r="V208" s="402" t="e">
        <f t="shared" si="20"/>
        <v>#VALUE!</v>
      </c>
      <c r="W208" s="402" t="e">
        <f t="shared" si="21"/>
        <v>#VALUE!</v>
      </c>
      <c r="X208" s="402" t="e">
        <f t="shared" si="22"/>
        <v>#VALUE!</v>
      </c>
      <c r="Y208" s="402" t="e">
        <f t="shared" si="23"/>
        <v>#VALUE!</v>
      </c>
      <c r="Z208" s="402" t="e">
        <f t="shared" si="24"/>
        <v>#VALUE!</v>
      </c>
      <c r="AA208" s="402" t="e">
        <f t="shared" si="25"/>
        <v>#VALUE!</v>
      </c>
      <c r="AB208" s="669" t="e">
        <f t="shared" si="26"/>
        <v>#VALUE!</v>
      </c>
      <c r="AC208" s="403"/>
    </row>
    <row r="209" spans="2:29" s="121" customFormat="1" outlineLevel="1">
      <c r="B209" s="1167"/>
      <c r="C209" s="1168"/>
      <c r="D209" s="1750" t="s">
        <v>290</v>
      </c>
      <c r="E209" s="1751"/>
      <c r="F209" s="1751"/>
      <c r="G209" s="1752"/>
      <c r="H209" s="835"/>
      <c r="I209" s="1327" t="e">
        <f t="shared" si="39"/>
        <v>#DIV/0!</v>
      </c>
      <c r="J209" s="736" t="s">
        <v>365</v>
      </c>
      <c r="K209" s="736" t="s">
        <v>365</v>
      </c>
      <c r="L209" s="1330" t="str">
        <f t="shared" si="40"/>
        <v>Non renseigné</v>
      </c>
      <c r="M209" s="736" t="str">
        <f t="shared" si="41"/>
        <v>-</v>
      </c>
      <c r="N209" s="822" t="e">
        <f t="shared" si="42"/>
        <v>#VALUE!</v>
      </c>
      <c r="O209" s="733" t="e">
        <f t="shared" si="43"/>
        <v>#VALUE!</v>
      </c>
      <c r="P209" s="822" t="e">
        <f t="shared" si="44"/>
        <v>#VALUE!</v>
      </c>
      <c r="Q209" s="823"/>
      <c r="R209" s="942"/>
      <c r="S209" s="402" t="e">
        <f t="shared" si="17"/>
        <v>#VALUE!</v>
      </c>
      <c r="T209" s="402" t="e">
        <f t="shared" si="18"/>
        <v>#VALUE!</v>
      </c>
      <c r="U209" s="402" t="e">
        <f t="shared" si="19"/>
        <v>#VALUE!</v>
      </c>
      <c r="V209" s="402" t="e">
        <f t="shared" si="20"/>
        <v>#VALUE!</v>
      </c>
      <c r="W209" s="402" t="e">
        <f t="shared" si="21"/>
        <v>#VALUE!</v>
      </c>
      <c r="X209" s="402" t="e">
        <f t="shared" si="22"/>
        <v>#VALUE!</v>
      </c>
      <c r="Y209" s="402" t="e">
        <f t="shared" si="23"/>
        <v>#VALUE!</v>
      </c>
      <c r="Z209" s="402" t="e">
        <f t="shared" si="24"/>
        <v>#VALUE!</v>
      </c>
      <c r="AA209" s="402" t="e">
        <f t="shared" si="25"/>
        <v>#VALUE!</v>
      </c>
      <c r="AB209" s="669" t="e">
        <f t="shared" si="26"/>
        <v>#VALUE!</v>
      </c>
      <c r="AC209" s="403"/>
    </row>
    <row r="210" spans="2:29" s="121" customFormat="1" outlineLevel="1">
      <c r="B210" s="1167"/>
      <c r="C210" s="1168"/>
      <c r="D210" s="1750" t="s">
        <v>290</v>
      </c>
      <c r="E210" s="1751"/>
      <c r="F210" s="1751"/>
      <c r="G210" s="1752"/>
      <c r="H210" s="835"/>
      <c r="I210" s="1327" t="e">
        <f t="shared" si="39"/>
        <v>#DIV/0!</v>
      </c>
      <c r="J210" s="736" t="s">
        <v>365</v>
      </c>
      <c r="K210" s="736" t="s">
        <v>365</v>
      </c>
      <c r="L210" s="1330" t="str">
        <f t="shared" si="40"/>
        <v>Non renseigné</v>
      </c>
      <c r="M210" s="736" t="str">
        <f t="shared" si="41"/>
        <v>-</v>
      </c>
      <c r="N210" s="822" t="e">
        <f t="shared" si="42"/>
        <v>#VALUE!</v>
      </c>
      <c r="O210" s="733" t="e">
        <f t="shared" si="43"/>
        <v>#VALUE!</v>
      </c>
      <c r="P210" s="822" t="e">
        <f t="shared" si="44"/>
        <v>#VALUE!</v>
      </c>
      <c r="Q210" s="823"/>
      <c r="R210" s="942"/>
      <c r="S210" s="402" t="e">
        <f t="shared" si="17"/>
        <v>#VALUE!</v>
      </c>
      <c r="T210" s="402" t="e">
        <f t="shared" si="18"/>
        <v>#VALUE!</v>
      </c>
      <c r="U210" s="402" t="e">
        <f t="shared" si="19"/>
        <v>#VALUE!</v>
      </c>
      <c r="V210" s="402" t="e">
        <f t="shared" si="20"/>
        <v>#VALUE!</v>
      </c>
      <c r="W210" s="402" t="e">
        <f t="shared" si="21"/>
        <v>#VALUE!</v>
      </c>
      <c r="X210" s="402" t="e">
        <f t="shared" si="22"/>
        <v>#VALUE!</v>
      </c>
      <c r="Y210" s="402" t="e">
        <f t="shared" si="23"/>
        <v>#VALUE!</v>
      </c>
      <c r="Z210" s="402" t="e">
        <f t="shared" si="24"/>
        <v>#VALUE!</v>
      </c>
      <c r="AA210" s="402" t="e">
        <f t="shared" si="25"/>
        <v>#VALUE!</v>
      </c>
      <c r="AB210" s="669" t="e">
        <f t="shared" si="26"/>
        <v>#VALUE!</v>
      </c>
      <c r="AC210" s="403"/>
    </row>
    <row r="211" spans="2:29" s="121" customFormat="1" outlineLevel="1">
      <c r="B211" s="1167"/>
      <c r="C211" s="1168"/>
      <c r="D211" s="1750" t="s">
        <v>290</v>
      </c>
      <c r="E211" s="1751"/>
      <c r="F211" s="1751"/>
      <c r="G211" s="1752"/>
      <c r="H211" s="835"/>
      <c r="I211" s="1327" t="e">
        <f t="shared" si="39"/>
        <v>#DIV/0!</v>
      </c>
      <c r="J211" s="736" t="s">
        <v>365</v>
      </c>
      <c r="K211" s="736" t="s">
        <v>365</v>
      </c>
      <c r="L211" s="1330" t="str">
        <f t="shared" si="40"/>
        <v>Non renseigné</v>
      </c>
      <c r="M211" s="736" t="str">
        <f t="shared" si="41"/>
        <v>-</v>
      </c>
      <c r="N211" s="822" t="e">
        <f t="shared" si="42"/>
        <v>#VALUE!</v>
      </c>
      <c r="O211" s="733" t="e">
        <f t="shared" si="43"/>
        <v>#VALUE!</v>
      </c>
      <c r="P211" s="822" t="e">
        <f t="shared" si="44"/>
        <v>#VALUE!</v>
      </c>
      <c r="Q211" s="823"/>
      <c r="R211" s="942"/>
      <c r="S211" s="402" t="e">
        <f t="shared" si="17"/>
        <v>#VALUE!</v>
      </c>
      <c r="T211" s="402" t="e">
        <f t="shared" si="18"/>
        <v>#VALUE!</v>
      </c>
      <c r="U211" s="402" t="e">
        <f t="shared" si="19"/>
        <v>#VALUE!</v>
      </c>
      <c r="V211" s="402" t="e">
        <f t="shared" si="20"/>
        <v>#VALUE!</v>
      </c>
      <c r="W211" s="402" t="e">
        <f t="shared" si="21"/>
        <v>#VALUE!</v>
      </c>
      <c r="X211" s="402" t="e">
        <f t="shared" si="22"/>
        <v>#VALUE!</v>
      </c>
      <c r="Y211" s="402" t="e">
        <f t="shared" si="23"/>
        <v>#VALUE!</v>
      </c>
      <c r="Z211" s="402" t="e">
        <f t="shared" si="24"/>
        <v>#VALUE!</v>
      </c>
      <c r="AA211" s="402" t="e">
        <f t="shared" si="25"/>
        <v>#VALUE!</v>
      </c>
      <c r="AB211" s="669" t="e">
        <f t="shared" si="26"/>
        <v>#VALUE!</v>
      </c>
      <c r="AC211" s="403"/>
    </row>
    <row r="212" spans="2:29" s="121" customFormat="1" outlineLevel="1">
      <c r="B212" s="1167"/>
      <c r="C212" s="1168"/>
      <c r="D212" s="1750" t="s">
        <v>290</v>
      </c>
      <c r="E212" s="1751"/>
      <c r="F212" s="1751"/>
      <c r="G212" s="1752"/>
      <c r="H212" s="835"/>
      <c r="I212" s="1327" t="e">
        <f t="shared" si="39"/>
        <v>#DIV/0!</v>
      </c>
      <c r="J212" s="736" t="s">
        <v>365</v>
      </c>
      <c r="K212" s="736" t="s">
        <v>365</v>
      </c>
      <c r="L212" s="1330" t="str">
        <f t="shared" si="40"/>
        <v>Non renseigné</v>
      </c>
      <c r="M212" s="736" t="str">
        <f t="shared" si="41"/>
        <v>-</v>
      </c>
      <c r="N212" s="822" t="e">
        <f t="shared" si="42"/>
        <v>#VALUE!</v>
      </c>
      <c r="O212" s="733" t="e">
        <f t="shared" si="43"/>
        <v>#VALUE!</v>
      </c>
      <c r="P212" s="822" t="e">
        <f t="shared" si="44"/>
        <v>#VALUE!</v>
      </c>
      <c r="Q212" s="823"/>
      <c r="R212" s="942"/>
      <c r="S212" s="402" t="e">
        <f t="shared" si="17"/>
        <v>#VALUE!</v>
      </c>
      <c r="T212" s="402" t="e">
        <f t="shared" si="18"/>
        <v>#VALUE!</v>
      </c>
      <c r="U212" s="402" t="e">
        <f t="shared" si="19"/>
        <v>#VALUE!</v>
      </c>
      <c r="V212" s="402" t="e">
        <f t="shared" si="20"/>
        <v>#VALUE!</v>
      </c>
      <c r="W212" s="402" t="e">
        <f t="shared" si="21"/>
        <v>#VALUE!</v>
      </c>
      <c r="X212" s="402" t="e">
        <f t="shared" si="22"/>
        <v>#VALUE!</v>
      </c>
      <c r="Y212" s="402" t="e">
        <f t="shared" si="23"/>
        <v>#VALUE!</v>
      </c>
      <c r="Z212" s="402" t="e">
        <f t="shared" si="24"/>
        <v>#VALUE!</v>
      </c>
      <c r="AA212" s="402" t="e">
        <f t="shared" si="25"/>
        <v>#VALUE!</v>
      </c>
      <c r="AB212" s="669" t="e">
        <f t="shared" si="26"/>
        <v>#VALUE!</v>
      </c>
      <c r="AC212" s="403"/>
    </row>
    <row r="213" spans="2:29" s="121" customFormat="1" outlineLevel="1">
      <c r="B213" s="1167"/>
      <c r="C213" s="1168"/>
      <c r="D213" s="1750" t="s">
        <v>290</v>
      </c>
      <c r="E213" s="1751"/>
      <c r="F213" s="1751"/>
      <c r="G213" s="1752"/>
      <c r="H213" s="835"/>
      <c r="I213" s="1327" t="e">
        <f t="shared" si="39"/>
        <v>#DIV/0!</v>
      </c>
      <c r="J213" s="736" t="s">
        <v>365</v>
      </c>
      <c r="K213" s="736" t="s">
        <v>365</v>
      </c>
      <c r="L213" s="1330" t="str">
        <f t="shared" si="40"/>
        <v>Non renseigné</v>
      </c>
      <c r="M213" s="736" t="str">
        <f t="shared" si="41"/>
        <v>-</v>
      </c>
      <c r="N213" s="822" t="e">
        <f t="shared" si="42"/>
        <v>#VALUE!</v>
      </c>
      <c r="O213" s="733" t="e">
        <f t="shared" si="43"/>
        <v>#VALUE!</v>
      </c>
      <c r="P213" s="822" t="e">
        <f t="shared" si="44"/>
        <v>#VALUE!</v>
      </c>
      <c r="Q213" s="823"/>
      <c r="R213" s="942"/>
      <c r="S213" s="402" t="e">
        <f t="shared" si="17"/>
        <v>#VALUE!</v>
      </c>
      <c r="T213" s="402" t="e">
        <f t="shared" si="18"/>
        <v>#VALUE!</v>
      </c>
      <c r="U213" s="402" t="e">
        <f t="shared" si="19"/>
        <v>#VALUE!</v>
      </c>
      <c r="V213" s="402" t="e">
        <f t="shared" si="20"/>
        <v>#VALUE!</v>
      </c>
      <c r="W213" s="402" t="e">
        <f t="shared" si="21"/>
        <v>#VALUE!</v>
      </c>
      <c r="X213" s="402" t="e">
        <f t="shared" si="22"/>
        <v>#VALUE!</v>
      </c>
      <c r="Y213" s="402" t="e">
        <f t="shared" si="23"/>
        <v>#VALUE!</v>
      </c>
      <c r="Z213" s="402" t="e">
        <f t="shared" si="24"/>
        <v>#VALUE!</v>
      </c>
      <c r="AA213" s="402" t="e">
        <f t="shared" si="25"/>
        <v>#VALUE!</v>
      </c>
      <c r="AB213" s="669" t="e">
        <f t="shared" si="26"/>
        <v>#VALUE!</v>
      </c>
      <c r="AC213" s="403"/>
    </row>
    <row r="214" spans="2:29" s="121" customFormat="1" outlineLevel="1">
      <c r="B214" s="1167"/>
      <c r="C214" s="1168"/>
      <c r="D214" s="1750" t="s">
        <v>290</v>
      </c>
      <c r="E214" s="1751"/>
      <c r="F214" s="1751"/>
      <c r="G214" s="1752"/>
      <c r="H214" s="835"/>
      <c r="I214" s="1327" t="e">
        <f t="shared" si="39"/>
        <v>#DIV/0!</v>
      </c>
      <c r="J214" s="736" t="s">
        <v>365</v>
      </c>
      <c r="K214" s="736" t="s">
        <v>365</v>
      </c>
      <c r="L214" s="1330" t="str">
        <f t="shared" si="40"/>
        <v>Non renseigné</v>
      </c>
      <c r="M214" s="736" t="str">
        <f t="shared" si="41"/>
        <v>-</v>
      </c>
      <c r="N214" s="822" t="e">
        <f t="shared" si="42"/>
        <v>#VALUE!</v>
      </c>
      <c r="O214" s="733" t="e">
        <f t="shared" si="43"/>
        <v>#VALUE!</v>
      </c>
      <c r="P214" s="822" t="e">
        <f t="shared" si="44"/>
        <v>#VALUE!</v>
      </c>
      <c r="Q214" s="823"/>
      <c r="R214" s="942"/>
      <c r="S214" s="402" t="e">
        <f t="shared" si="17"/>
        <v>#VALUE!</v>
      </c>
      <c r="T214" s="402" t="e">
        <f t="shared" si="18"/>
        <v>#VALUE!</v>
      </c>
      <c r="U214" s="402" t="e">
        <f t="shared" si="19"/>
        <v>#VALUE!</v>
      </c>
      <c r="V214" s="402" t="e">
        <f t="shared" si="20"/>
        <v>#VALUE!</v>
      </c>
      <c r="W214" s="402" t="e">
        <f t="shared" si="21"/>
        <v>#VALUE!</v>
      </c>
      <c r="X214" s="402" t="e">
        <f t="shared" si="22"/>
        <v>#VALUE!</v>
      </c>
      <c r="Y214" s="402" t="e">
        <f t="shared" si="23"/>
        <v>#VALUE!</v>
      </c>
      <c r="Z214" s="402" t="e">
        <f t="shared" si="24"/>
        <v>#VALUE!</v>
      </c>
      <c r="AA214" s="402" t="e">
        <f t="shared" si="25"/>
        <v>#VALUE!</v>
      </c>
      <c r="AB214" s="669" t="e">
        <f t="shared" si="26"/>
        <v>#VALUE!</v>
      </c>
      <c r="AC214" s="403"/>
    </row>
    <row r="215" spans="2:29" s="121" customFormat="1" outlineLevel="1">
      <c r="B215" s="1167"/>
      <c r="C215" s="1168"/>
      <c r="D215" s="1750" t="s">
        <v>290</v>
      </c>
      <c r="E215" s="1751"/>
      <c r="F215" s="1751"/>
      <c r="G215" s="1752"/>
      <c r="H215" s="835"/>
      <c r="I215" s="1327" t="e">
        <f t="shared" si="39"/>
        <v>#DIV/0!</v>
      </c>
      <c r="J215" s="736" t="s">
        <v>365</v>
      </c>
      <c r="K215" s="736" t="s">
        <v>365</v>
      </c>
      <c r="L215" s="1330" t="str">
        <f t="shared" si="40"/>
        <v>Non renseigné</v>
      </c>
      <c r="M215" s="736" t="str">
        <f t="shared" si="41"/>
        <v>-</v>
      </c>
      <c r="N215" s="822" t="e">
        <f t="shared" si="42"/>
        <v>#VALUE!</v>
      </c>
      <c r="O215" s="733" t="e">
        <f t="shared" si="43"/>
        <v>#VALUE!</v>
      </c>
      <c r="P215" s="822" t="e">
        <f t="shared" si="44"/>
        <v>#VALUE!</v>
      </c>
      <c r="Q215" s="823"/>
      <c r="R215" s="942"/>
      <c r="S215" s="402" t="e">
        <f t="shared" si="17"/>
        <v>#VALUE!</v>
      </c>
      <c r="T215" s="402" t="e">
        <f t="shared" si="18"/>
        <v>#VALUE!</v>
      </c>
      <c r="U215" s="402" t="e">
        <f t="shared" si="19"/>
        <v>#VALUE!</v>
      </c>
      <c r="V215" s="402" t="e">
        <f t="shared" si="20"/>
        <v>#VALUE!</v>
      </c>
      <c r="W215" s="402" t="e">
        <f t="shared" si="21"/>
        <v>#VALUE!</v>
      </c>
      <c r="X215" s="402" t="e">
        <f t="shared" si="22"/>
        <v>#VALUE!</v>
      </c>
      <c r="Y215" s="402" t="e">
        <f t="shared" si="23"/>
        <v>#VALUE!</v>
      </c>
      <c r="Z215" s="402" t="e">
        <f t="shared" si="24"/>
        <v>#VALUE!</v>
      </c>
      <c r="AA215" s="402" t="e">
        <f t="shared" si="25"/>
        <v>#VALUE!</v>
      </c>
      <c r="AB215" s="669" t="e">
        <f t="shared" si="26"/>
        <v>#VALUE!</v>
      </c>
      <c r="AC215" s="403"/>
    </row>
    <row r="216" spans="2:29" outlineLevel="1">
      <c r="B216" s="1167"/>
      <c r="C216" s="1168"/>
      <c r="D216" s="1750" t="s">
        <v>290</v>
      </c>
      <c r="E216" s="1751"/>
      <c r="F216" s="1751"/>
      <c r="G216" s="1752"/>
      <c r="H216" s="835"/>
      <c r="I216" s="1327" t="e">
        <f t="shared" si="39"/>
        <v>#DIV/0!</v>
      </c>
      <c r="J216" s="736" t="s">
        <v>365</v>
      </c>
      <c r="K216" s="736" t="s">
        <v>365</v>
      </c>
      <c r="L216" s="1330" t="str">
        <f t="shared" si="40"/>
        <v>Non renseigné</v>
      </c>
      <c r="M216" s="736" t="str">
        <f t="shared" si="41"/>
        <v>-</v>
      </c>
      <c r="N216" s="822" t="e">
        <f t="shared" si="42"/>
        <v>#VALUE!</v>
      </c>
      <c r="O216" s="733" t="e">
        <f t="shared" si="43"/>
        <v>#VALUE!</v>
      </c>
      <c r="P216" s="822" t="e">
        <f t="shared" si="44"/>
        <v>#VALUE!</v>
      </c>
      <c r="Q216" s="823"/>
      <c r="R216" s="942"/>
      <c r="S216" s="402" t="e">
        <f t="shared" si="17"/>
        <v>#VALUE!</v>
      </c>
      <c r="T216" s="402" t="e">
        <f t="shared" si="18"/>
        <v>#VALUE!</v>
      </c>
      <c r="U216" s="402" t="e">
        <f t="shared" si="19"/>
        <v>#VALUE!</v>
      </c>
      <c r="V216" s="402" t="e">
        <f t="shared" si="20"/>
        <v>#VALUE!</v>
      </c>
      <c r="W216" s="402" t="e">
        <f t="shared" si="21"/>
        <v>#VALUE!</v>
      </c>
      <c r="X216" s="402" t="e">
        <f t="shared" si="22"/>
        <v>#VALUE!</v>
      </c>
      <c r="Y216" s="402" t="e">
        <f t="shared" si="23"/>
        <v>#VALUE!</v>
      </c>
      <c r="Z216" s="402" t="e">
        <f t="shared" si="24"/>
        <v>#VALUE!</v>
      </c>
      <c r="AA216" s="402" t="e">
        <f t="shared" si="25"/>
        <v>#VALUE!</v>
      </c>
      <c r="AB216" s="669" t="e">
        <f t="shared" si="26"/>
        <v>#VALUE!</v>
      </c>
    </row>
    <row r="217" spans="2:29" s="121" customFormat="1" outlineLevel="1">
      <c r="B217" s="1167"/>
      <c r="C217" s="1168"/>
      <c r="D217" s="1750" t="s">
        <v>290</v>
      </c>
      <c r="E217" s="1751"/>
      <c r="F217" s="1751"/>
      <c r="G217" s="1752"/>
      <c r="H217" s="835"/>
      <c r="I217" s="1327" t="e">
        <f t="shared" si="39"/>
        <v>#DIV/0!</v>
      </c>
      <c r="J217" s="736" t="s">
        <v>365</v>
      </c>
      <c r="K217" s="736" t="s">
        <v>365</v>
      </c>
      <c r="L217" s="1330" t="str">
        <f t="shared" si="40"/>
        <v>Non renseigné</v>
      </c>
      <c r="M217" s="736" t="str">
        <f t="shared" si="41"/>
        <v>-</v>
      </c>
      <c r="N217" s="822" t="e">
        <f t="shared" si="42"/>
        <v>#VALUE!</v>
      </c>
      <c r="O217" s="733" t="e">
        <f t="shared" si="43"/>
        <v>#VALUE!</v>
      </c>
      <c r="P217" s="822" t="e">
        <f t="shared" si="44"/>
        <v>#VALUE!</v>
      </c>
      <c r="Q217" s="823"/>
      <c r="R217" s="942"/>
      <c r="S217" s="402" t="e">
        <f t="shared" si="17"/>
        <v>#VALUE!</v>
      </c>
      <c r="T217" s="402" t="e">
        <f t="shared" si="18"/>
        <v>#VALUE!</v>
      </c>
      <c r="U217" s="402" t="e">
        <f t="shared" si="19"/>
        <v>#VALUE!</v>
      </c>
      <c r="V217" s="402" t="e">
        <f t="shared" si="20"/>
        <v>#VALUE!</v>
      </c>
      <c r="W217" s="402" t="e">
        <f t="shared" si="21"/>
        <v>#VALUE!</v>
      </c>
      <c r="X217" s="402" t="e">
        <f t="shared" si="22"/>
        <v>#VALUE!</v>
      </c>
      <c r="Y217" s="402" t="e">
        <f t="shared" si="23"/>
        <v>#VALUE!</v>
      </c>
      <c r="Z217" s="402" t="e">
        <f t="shared" si="24"/>
        <v>#VALUE!</v>
      </c>
      <c r="AA217" s="402" t="e">
        <f t="shared" si="25"/>
        <v>#VALUE!</v>
      </c>
      <c r="AB217" s="669" t="e">
        <f t="shared" si="26"/>
        <v>#VALUE!</v>
      </c>
      <c r="AC217" s="403"/>
    </row>
    <row r="218" spans="2:29" s="121" customFormat="1" outlineLevel="1">
      <c r="B218" s="1167"/>
      <c r="C218" s="1168"/>
      <c r="D218" s="1750" t="s">
        <v>290</v>
      </c>
      <c r="E218" s="1751"/>
      <c r="F218" s="1751"/>
      <c r="G218" s="1752"/>
      <c r="H218" s="835"/>
      <c r="I218" s="1327" t="e">
        <f t="shared" si="39"/>
        <v>#DIV/0!</v>
      </c>
      <c r="J218" s="736" t="s">
        <v>365</v>
      </c>
      <c r="K218" s="736" t="s">
        <v>365</v>
      </c>
      <c r="L218" s="1330" t="str">
        <f t="shared" si="40"/>
        <v>Non renseigné</v>
      </c>
      <c r="M218" s="736" t="str">
        <f t="shared" si="41"/>
        <v>-</v>
      </c>
      <c r="N218" s="822" t="e">
        <f t="shared" si="42"/>
        <v>#VALUE!</v>
      </c>
      <c r="O218" s="733" t="e">
        <f t="shared" si="43"/>
        <v>#VALUE!</v>
      </c>
      <c r="P218" s="822" t="e">
        <f t="shared" si="44"/>
        <v>#VALUE!</v>
      </c>
      <c r="Q218" s="823"/>
      <c r="R218" s="942"/>
      <c r="S218" s="402" t="e">
        <f t="shared" si="17"/>
        <v>#VALUE!</v>
      </c>
      <c r="T218" s="402" t="e">
        <f t="shared" si="18"/>
        <v>#VALUE!</v>
      </c>
      <c r="U218" s="402" t="e">
        <f t="shared" si="19"/>
        <v>#VALUE!</v>
      </c>
      <c r="V218" s="402" t="e">
        <f t="shared" si="20"/>
        <v>#VALUE!</v>
      </c>
      <c r="W218" s="402" t="e">
        <f t="shared" si="21"/>
        <v>#VALUE!</v>
      </c>
      <c r="X218" s="402" t="e">
        <f t="shared" si="22"/>
        <v>#VALUE!</v>
      </c>
      <c r="Y218" s="402" t="e">
        <f t="shared" si="23"/>
        <v>#VALUE!</v>
      </c>
      <c r="Z218" s="402" t="e">
        <f t="shared" si="24"/>
        <v>#VALUE!</v>
      </c>
      <c r="AA218" s="402" t="e">
        <f t="shared" si="25"/>
        <v>#VALUE!</v>
      </c>
      <c r="AB218" s="669" t="e">
        <f t="shared" si="26"/>
        <v>#VALUE!</v>
      </c>
      <c r="AC218" s="403"/>
    </row>
    <row r="219" spans="2:29" s="121" customFormat="1" outlineLevel="1">
      <c r="B219" s="1167"/>
      <c r="C219" s="1168"/>
      <c r="D219" s="1750" t="s">
        <v>290</v>
      </c>
      <c r="E219" s="1751"/>
      <c r="F219" s="1751"/>
      <c r="G219" s="1752"/>
      <c r="H219" s="835"/>
      <c r="I219" s="1327" t="e">
        <f t="shared" si="39"/>
        <v>#DIV/0!</v>
      </c>
      <c r="J219" s="736" t="s">
        <v>365</v>
      </c>
      <c r="K219" s="736" t="s">
        <v>365</v>
      </c>
      <c r="L219" s="1330" t="str">
        <f t="shared" si="40"/>
        <v>Non renseigné</v>
      </c>
      <c r="M219" s="736" t="str">
        <f t="shared" si="41"/>
        <v>-</v>
      </c>
      <c r="N219" s="822" t="e">
        <f t="shared" si="42"/>
        <v>#VALUE!</v>
      </c>
      <c r="O219" s="733" t="e">
        <f t="shared" si="43"/>
        <v>#VALUE!</v>
      </c>
      <c r="P219" s="822" t="e">
        <f t="shared" si="44"/>
        <v>#VALUE!</v>
      </c>
      <c r="Q219" s="823"/>
      <c r="R219" s="942"/>
      <c r="S219" s="402" t="e">
        <f t="shared" si="17"/>
        <v>#VALUE!</v>
      </c>
      <c r="T219" s="402" t="e">
        <f t="shared" si="18"/>
        <v>#VALUE!</v>
      </c>
      <c r="U219" s="402" t="e">
        <f t="shared" si="19"/>
        <v>#VALUE!</v>
      </c>
      <c r="V219" s="402" t="e">
        <f t="shared" si="20"/>
        <v>#VALUE!</v>
      </c>
      <c r="W219" s="402" t="e">
        <f t="shared" si="21"/>
        <v>#VALUE!</v>
      </c>
      <c r="X219" s="402" t="e">
        <f t="shared" si="22"/>
        <v>#VALUE!</v>
      </c>
      <c r="Y219" s="402" t="e">
        <f t="shared" si="23"/>
        <v>#VALUE!</v>
      </c>
      <c r="Z219" s="402" t="e">
        <f t="shared" si="24"/>
        <v>#VALUE!</v>
      </c>
      <c r="AA219" s="402" t="e">
        <f t="shared" si="25"/>
        <v>#VALUE!</v>
      </c>
      <c r="AB219" s="669" t="e">
        <f t="shared" si="26"/>
        <v>#VALUE!</v>
      </c>
      <c r="AC219" s="403"/>
    </row>
    <row r="220" spans="2:29" s="121" customFormat="1" outlineLevel="1">
      <c r="B220" s="1167"/>
      <c r="C220" s="1168"/>
      <c r="D220" s="1750" t="s">
        <v>290</v>
      </c>
      <c r="E220" s="1751"/>
      <c r="F220" s="1751"/>
      <c r="G220" s="1752"/>
      <c r="H220" s="835"/>
      <c r="I220" s="1327" t="e">
        <f t="shared" si="39"/>
        <v>#DIV/0!</v>
      </c>
      <c r="J220" s="736" t="s">
        <v>365</v>
      </c>
      <c r="K220" s="736" t="s">
        <v>365</v>
      </c>
      <c r="L220" s="1330" t="str">
        <f t="shared" si="40"/>
        <v>Non renseigné</v>
      </c>
      <c r="M220" s="736" t="str">
        <f t="shared" si="41"/>
        <v>-</v>
      </c>
      <c r="N220" s="822" t="e">
        <f t="shared" si="42"/>
        <v>#VALUE!</v>
      </c>
      <c r="O220" s="733" t="e">
        <f t="shared" si="43"/>
        <v>#VALUE!</v>
      </c>
      <c r="P220" s="822" t="e">
        <f t="shared" si="44"/>
        <v>#VALUE!</v>
      </c>
      <c r="Q220" s="823"/>
      <c r="R220" s="942"/>
      <c r="S220" s="402" t="e">
        <f t="shared" si="17"/>
        <v>#VALUE!</v>
      </c>
      <c r="T220" s="402" t="e">
        <f t="shared" si="18"/>
        <v>#VALUE!</v>
      </c>
      <c r="U220" s="402" t="e">
        <f t="shared" si="19"/>
        <v>#VALUE!</v>
      </c>
      <c r="V220" s="402" t="e">
        <f t="shared" si="20"/>
        <v>#VALUE!</v>
      </c>
      <c r="W220" s="402" t="e">
        <f t="shared" si="21"/>
        <v>#VALUE!</v>
      </c>
      <c r="X220" s="402" t="e">
        <f t="shared" si="22"/>
        <v>#VALUE!</v>
      </c>
      <c r="Y220" s="402" t="e">
        <f t="shared" si="23"/>
        <v>#VALUE!</v>
      </c>
      <c r="Z220" s="402" t="e">
        <f t="shared" si="24"/>
        <v>#VALUE!</v>
      </c>
      <c r="AA220" s="402" t="e">
        <f t="shared" si="25"/>
        <v>#VALUE!</v>
      </c>
      <c r="AB220" s="669" t="e">
        <f t="shared" si="26"/>
        <v>#VALUE!</v>
      </c>
      <c r="AC220" s="403"/>
    </row>
    <row r="221" spans="2:29" s="121" customFormat="1" outlineLevel="1">
      <c r="B221" s="1167"/>
      <c r="C221" s="1168"/>
      <c r="D221" s="1750" t="s">
        <v>290</v>
      </c>
      <c r="E221" s="1751"/>
      <c r="F221" s="1751"/>
      <c r="G221" s="1752"/>
      <c r="H221" s="835"/>
      <c r="I221" s="1327" t="e">
        <f t="shared" si="39"/>
        <v>#DIV/0!</v>
      </c>
      <c r="J221" s="736" t="s">
        <v>365</v>
      </c>
      <c r="K221" s="736" t="s">
        <v>365</v>
      </c>
      <c r="L221" s="1330" t="str">
        <f t="shared" si="40"/>
        <v>Non renseigné</v>
      </c>
      <c r="M221" s="736" t="str">
        <f t="shared" si="41"/>
        <v>-</v>
      </c>
      <c r="N221" s="822" t="e">
        <f t="shared" si="42"/>
        <v>#VALUE!</v>
      </c>
      <c r="O221" s="733" t="e">
        <f t="shared" si="43"/>
        <v>#VALUE!</v>
      </c>
      <c r="P221" s="822" t="e">
        <f t="shared" si="44"/>
        <v>#VALUE!</v>
      </c>
      <c r="Q221" s="823"/>
      <c r="R221" s="942"/>
      <c r="S221" s="402" t="e">
        <f t="shared" si="17"/>
        <v>#VALUE!</v>
      </c>
      <c r="T221" s="402" t="e">
        <f t="shared" si="18"/>
        <v>#VALUE!</v>
      </c>
      <c r="U221" s="402" t="e">
        <f t="shared" si="19"/>
        <v>#VALUE!</v>
      </c>
      <c r="V221" s="402" t="e">
        <f t="shared" si="20"/>
        <v>#VALUE!</v>
      </c>
      <c r="W221" s="402" t="e">
        <f t="shared" si="21"/>
        <v>#VALUE!</v>
      </c>
      <c r="X221" s="402" t="e">
        <f t="shared" si="22"/>
        <v>#VALUE!</v>
      </c>
      <c r="Y221" s="402" t="e">
        <f t="shared" si="23"/>
        <v>#VALUE!</v>
      </c>
      <c r="Z221" s="402" t="e">
        <f t="shared" si="24"/>
        <v>#VALUE!</v>
      </c>
      <c r="AA221" s="402" t="e">
        <f t="shared" si="25"/>
        <v>#VALUE!</v>
      </c>
      <c r="AB221" s="669" t="e">
        <f t="shared" si="26"/>
        <v>#VALUE!</v>
      </c>
      <c r="AC221" s="403"/>
    </row>
    <row r="222" spans="2:29" s="121" customFormat="1" outlineLevel="1">
      <c r="B222" s="1167"/>
      <c r="C222" s="1168"/>
      <c r="D222" s="1750" t="s">
        <v>290</v>
      </c>
      <c r="E222" s="1751"/>
      <c r="F222" s="1751"/>
      <c r="G222" s="1752"/>
      <c r="H222" s="835"/>
      <c r="I222" s="1327" t="e">
        <f t="shared" si="39"/>
        <v>#DIV/0!</v>
      </c>
      <c r="J222" s="736" t="s">
        <v>365</v>
      </c>
      <c r="K222" s="736" t="s">
        <v>365</v>
      </c>
      <c r="L222" s="1330" t="str">
        <f t="shared" si="40"/>
        <v>Non renseigné</v>
      </c>
      <c r="M222" s="736" t="str">
        <f t="shared" si="41"/>
        <v>-</v>
      </c>
      <c r="N222" s="822" t="e">
        <f t="shared" si="42"/>
        <v>#VALUE!</v>
      </c>
      <c r="O222" s="733" t="e">
        <f t="shared" si="43"/>
        <v>#VALUE!</v>
      </c>
      <c r="P222" s="822" t="e">
        <f t="shared" si="44"/>
        <v>#VALUE!</v>
      </c>
      <c r="Q222" s="823"/>
      <c r="R222" s="942"/>
      <c r="S222" s="402" t="e">
        <f t="shared" ref="S222:S229" si="45">IF($D222="Bâtiments avec mise en service N+1",IF($S$15=$L222,$N222,IF(AND($S$15&gt;$L222,$S$15&lt;$L222+$Q222),$I222,IF($S$15&lt;$L222,"",IF($S$15&gt;$L222+$Q222,"",$P222)))),IF($S$15=$J222,$N222,IF(AND($S$15&gt;$J222,$S$15&lt;$J222+$Q222),$I222,IF($S$15&lt;$J222,"",IF($S$15&gt;$L222+$Q222,"",$P222)))))</f>
        <v>#VALUE!</v>
      </c>
      <c r="T222" s="402" t="e">
        <f t="shared" ref="T222:T229" si="46">IF($D222="Bâtiments avec mise en service N+1",IF($T$15=$L222,$N222,IF(AND($T$15&gt;$L222,$T$15&lt;$L222+$Q222),$I222,IF($T$15&lt;$L222,"",IF($T$15&gt;$L222+$Q222,"",$P222)))),IF($T$15=$J222,$N222,IF(AND($T$15&gt;$J222,$T$15&lt;$J222+$Q222),$I222,IF($T$15&lt;$J222,"",IF($T$15&gt;$L222+$Q222,"",$P222)))))</f>
        <v>#VALUE!</v>
      </c>
      <c r="U222" s="402" t="e">
        <f t="shared" ref="U222:U229" si="47">IF($D222="Bâtiments avec mise en service N+1",IF($U$15=$L222,$N222,IF(AND($U$15&gt;$L222,$U$15&lt;$L222+$Q222),$I222,IF($U$15&lt;$L222,"",IF($U$15&gt;$L222+$Q222,"",$P222)))),IF($U$15=$J222,$N222,IF(AND($U$15&gt;$J222,$U$15&lt;$J222+$Q222),$I222,IF($U$15&lt;$J222,"",IF($U$15&gt;$L222+$Q222,"",$P222)))))</f>
        <v>#VALUE!</v>
      </c>
      <c r="V222" s="402" t="e">
        <f t="shared" ref="V222:V229" si="48">IF($D222="Bâtiments avec mise en service N+1",IF($V$15=$L222,$N222,IF(AND($V$15&gt;$L222,$V$15&lt;$L222+$Q222),$I222,IF($V$15&lt;$L222,"",IF($V$15&gt;$L222+$Q222,"",$P222)))),IF($V$15=$J222,$N222,IF(AND($V$15&gt;$J222,$V$15&lt;$J222+$Q222),$I222,IF($V$15&lt;$J222,"",IF($V$15&gt;$L222+$Q222,"",$P222)))))</f>
        <v>#VALUE!</v>
      </c>
      <c r="W222" s="402" t="e">
        <f t="shared" ref="W222:W229" si="49">IF($D222="Bâtiments avec mise en service N+1",IF($W$15=$L222,$N222,IF(AND($W$15&gt;$L222,$W$15&lt;$L222+$Q222),$I222,IF($W$15&lt;$L222,"",IF($W$15&gt;$L222+$Q222,"",$P222)))),IF($W$15=$J222,$N222,IF(AND($W$15&gt;$J222,$W$15&lt;$J222+$Q222),$I222,IF($W$15&lt;$J222,"",IF($W$15&gt;$L222+$Q222,"",$P222)))))</f>
        <v>#VALUE!</v>
      </c>
      <c r="X222" s="402" t="e">
        <f t="shared" ref="X222:X229" si="50">IF($D222="Bâtiments avec mise en service N+1",IF($X$15=$L222,$N222,IF(AND($X$15&gt;$L222,$X$15&lt;$L222+$Q222),$I222,IF($X$15&lt;$L222,"",IF($X$15&gt;$L222+$Q222,"",$P222)))),IF($X$15=$J222,$N222,IF(AND($X$15&gt;$J222,$X$15&lt;$J222+$Q222),$I222,IF($X$15&lt;$J222,"",IF($X$15&gt;$L222+$Q222,"",$P222)))))</f>
        <v>#VALUE!</v>
      </c>
      <c r="Y222" s="402" t="e">
        <f t="shared" ref="Y222:Y229" si="51">IF($D222="Bâtiments avec mise en service N+1",IF($Y$15=$L222,$N222,IF(AND($Y$15&gt;$L222,$Y$15&lt;$L222+$Q222),$I222,IF($Y$15&lt;$L222,"",IF($Y$15&gt;$L222+$Q222,"",$P222)))),IF($Y$15=$J222,$N222,IF(AND($Y$15&gt;$J222,$Y$15&lt;$J222+$Q222),$I222,IF($Y$15&lt;$J222,"",IF($Y$15&gt;$L222+$Q222,"",$P222)))))</f>
        <v>#VALUE!</v>
      </c>
      <c r="Z222" s="402" t="e">
        <f t="shared" ref="Z222:Z229" si="52">IF($D222="Bâtiments avec mise en service N+1",IF($Z$15=$L222,$N222,IF(AND($Z$15&gt;$L222,$Z$15&lt;$L222+$Q222),$I222,IF($Z$15&lt;$L222,"",IF($Z$15&gt;$L222+$Q222,"",$P222)))),IF($Z$15=$J222,$N222,IF(AND($Z$15&gt;$J222,$Z$15&lt;$J222+$Q222),$I222,IF($Z$15&lt;$J222,"",IF($Z$15&gt;$L222+$Q222,"",$P222)))))</f>
        <v>#VALUE!</v>
      </c>
      <c r="AA222" s="402" t="e">
        <f t="shared" ref="AA222:AA229" si="53">IF($D222="Bâtiments avec mise en service N+1",IF($AA$15=$L222,$N222,IF(AND($AA$15&gt;$L222,$AA$15&lt;$L222+$Q222),$I222,IF($AA$15&lt;$L222,"",IF($AA$15&gt;$L222+$Q222,"",$P222)))),IF($AA$15=$J222,$N222,IF(AND($AA$15&gt;$J222,$AA$15&lt;$J222+$Q222),$I222,IF($AA$15&lt;$J222,"",IF($AA$15&gt;$L222+$Q222,"",$P222)))))</f>
        <v>#VALUE!</v>
      </c>
      <c r="AB222" s="669" t="e">
        <f t="shared" ref="AB222:AB229" si="54">IF($D222="Bâtiments avec mise en service N+1",IF($AB$15=$L222,$N222,IF(AND($AB$15&gt;$L222,$AB$15&lt;$L222+$Q222),$I222,IF($AB$15&lt;$L222,"",IF($AB$15&gt;$L222+$Q222,"",$P222)))),IF($AB$15=$J222,$N222,IF(AND($AB$15&gt;$J222,$AB$15&lt;$J222+$Q222),$I222,IF($AB$15&lt;$J222,"",IF($AB$15&gt;$L222+$Q222,"",$P222)))))</f>
        <v>#VALUE!</v>
      </c>
      <c r="AC222" s="403"/>
    </row>
    <row r="223" spans="2:29" s="121" customFormat="1" outlineLevel="1">
      <c r="B223" s="1167"/>
      <c r="C223" s="1168"/>
      <c r="D223" s="1750" t="s">
        <v>290</v>
      </c>
      <c r="E223" s="1751"/>
      <c r="F223" s="1751"/>
      <c r="G223" s="1752"/>
      <c r="H223" s="835"/>
      <c r="I223" s="1327" t="e">
        <f t="shared" si="39"/>
        <v>#DIV/0!</v>
      </c>
      <c r="J223" s="736" t="s">
        <v>365</v>
      </c>
      <c r="K223" s="736" t="s">
        <v>365</v>
      </c>
      <c r="L223" s="1330" t="str">
        <f t="shared" si="40"/>
        <v>Non renseigné</v>
      </c>
      <c r="M223" s="736" t="str">
        <f t="shared" si="41"/>
        <v>-</v>
      </c>
      <c r="N223" s="822" t="e">
        <f t="shared" si="42"/>
        <v>#VALUE!</v>
      </c>
      <c r="O223" s="733" t="e">
        <f t="shared" si="43"/>
        <v>#VALUE!</v>
      </c>
      <c r="P223" s="822" t="e">
        <f t="shared" si="44"/>
        <v>#VALUE!</v>
      </c>
      <c r="Q223" s="823"/>
      <c r="R223" s="942"/>
      <c r="S223" s="402" t="e">
        <f t="shared" si="45"/>
        <v>#VALUE!</v>
      </c>
      <c r="T223" s="402" t="e">
        <f t="shared" si="46"/>
        <v>#VALUE!</v>
      </c>
      <c r="U223" s="402" t="e">
        <f t="shared" si="47"/>
        <v>#VALUE!</v>
      </c>
      <c r="V223" s="402" t="e">
        <f t="shared" si="48"/>
        <v>#VALUE!</v>
      </c>
      <c r="W223" s="402" t="e">
        <f t="shared" si="49"/>
        <v>#VALUE!</v>
      </c>
      <c r="X223" s="402" t="e">
        <f t="shared" si="50"/>
        <v>#VALUE!</v>
      </c>
      <c r="Y223" s="402" t="e">
        <f t="shared" si="51"/>
        <v>#VALUE!</v>
      </c>
      <c r="Z223" s="402" t="e">
        <f t="shared" si="52"/>
        <v>#VALUE!</v>
      </c>
      <c r="AA223" s="402" t="e">
        <f t="shared" si="53"/>
        <v>#VALUE!</v>
      </c>
      <c r="AB223" s="669" t="e">
        <f t="shared" si="54"/>
        <v>#VALUE!</v>
      </c>
      <c r="AC223" s="403"/>
    </row>
    <row r="224" spans="2:29" s="121" customFormat="1" outlineLevel="1">
      <c r="B224" s="1167"/>
      <c r="C224" s="1168"/>
      <c r="D224" s="1750" t="s">
        <v>290</v>
      </c>
      <c r="E224" s="1751"/>
      <c r="F224" s="1751"/>
      <c r="G224" s="1752"/>
      <c r="H224" s="835"/>
      <c r="I224" s="1327" t="e">
        <f t="shared" si="39"/>
        <v>#DIV/0!</v>
      </c>
      <c r="J224" s="736" t="s">
        <v>365</v>
      </c>
      <c r="K224" s="736" t="s">
        <v>365</v>
      </c>
      <c r="L224" s="1330" t="str">
        <f t="shared" si="40"/>
        <v>Non renseigné</v>
      </c>
      <c r="M224" s="736" t="str">
        <f t="shared" si="41"/>
        <v>-</v>
      </c>
      <c r="N224" s="822" t="e">
        <f t="shared" si="42"/>
        <v>#VALUE!</v>
      </c>
      <c r="O224" s="733" t="e">
        <f t="shared" si="43"/>
        <v>#VALUE!</v>
      </c>
      <c r="P224" s="822" t="e">
        <f t="shared" si="44"/>
        <v>#VALUE!</v>
      </c>
      <c r="Q224" s="823"/>
      <c r="R224" s="942"/>
      <c r="S224" s="402" t="e">
        <f t="shared" si="45"/>
        <v>#VALUE!</v>
      </c>
      <c r="T224" s="402" t="e">
        <f t="shared" si="46"/>
        <v>#VALUE!</v>
      </c>
      <c r="U224" s="402" t="e">
        <f t="shared" si="47"/>
        <v>#VALUE!</v>
      </c>
      <c r="V224" s="402" t="e">
        <f t="shared" si="48"/>
        <v>#VALUE!</v>
      </c>
      <c r="W224" s="402" t="e">
        <f t="shared" si="49"/>
        <v>#VALUE!</v>
      </c>
      <c r="X224" s="402" t="e">
        <f t="shared" si="50"/>
        <v>#VALUE!</v>
      </c>
      <c r="Y224" s="402" t="e">
        <f t="shared" si="51"/>
        <v>#VALUE!</v>
      </c>
      <c r="Z224" s="402" t="e">
        <f t="shared" si="52"/>
        <v>#VALUE!</v>
      </c>
      <c r="AA224" s="402" t="e">
        <f t="shared" si="53"/>
        <v>#VALUE!</v>
      </c>
      <c r="AB224" s="669" t="e">
        <f t="shared" si="54"/>
        <v>#VALUE!</v>
      </c>
      <c r="AC224" s="403"/>
    </row>
    <row r="225" spans="2:29" s="121" customFormat="1" outlineLevel="1">
      <c r="B225" s="1167"/>
      <c r="C225" s="1168"/>
      <c r="D225" s="1750" t="s">
        <v>290</v>
      </c>
      <c r="E225" s="1751"/>
      <c r="F225" s="1751"/>
      <c r="G225" s="1752"/>
      <c r="H225" s="835"/>
      <c r="I225" s="1327" t="e">
        <f t="shared" si="39"/>
        <v>#DIV/0!</v>
      </c>
      <c r="J225" s="736" t="s">
        <v>365</v>
      </c>
      <c r="K225" s="736" t="s">
        <v>365</v>
      </c>
      <c r="L225" s="1330" t="str">
        <f t="shared" si="40"/>
        <v>Non renseigné</v>
      </c>
      <c r="M225" s="736" t="str">
        <f t="shared" si="41"/>
        <v>-</v>
      </c>
      <c r="N225" s="822" t="e">
        <f t="shared" si="42"/>
        <v>#VALUE!</v>
      </c>
      <c r="O225" s="733" t="e">
        <f t="shared" si="43"/>
        <v>#VALUE!</v>
      </c>
      <c r="P225" s="822" t="e">
        <f t="shared" si="44"/>
        <v>#VALUE!</v>
      </c>
      <c r="Q225" s="823"/>
      <c r="R225" s="942"/>
      <c r="S225" s="402" t="e">
        <f t="shared" si="45"/>
        <v>#VALUE!</v>
      </c>
      <c r="T225" s="402" t="e">
        <f t="shared" si="46"/>
        <v>#VALUE!</v>
      </c>
      <c r="U225" s="402" t="e">
        <f t="shared" si="47"/>
        <v>#VALUE!</v>
      </c>
      <c r="V225" s="402" t="e">
        <f t="shared" si="48"/>
        <v>#VALUE!</v>
      </c>
      <c r="W225" s="402" t="e">
        <f t="shared" si="49"/>
        <v>#VALUE!</v>
      </c>
      <c r="X225" s="402" t="e">
        <f t="shared" si="50"/>
        <v>#VALUE!</v>
      </c>
      <c r="Y225" s="402" t="e">
        <f t="shared" si="51"/>
        <v>#VALUE!</v>
      </c>
      <c r="Z225" s="402" t="e">
        <f t="shared" si="52"/>
        <v>#VALUE!</v>
      </c>
      <c r="AA225" s="402" t="e">
        <f t="shared" si="53"/>
        <v>#VALUE!</v>
      </c>
      <c r="AB225" s="669" t="e">
        <f t="shared" si="54"/>
        <v>#VALUE!</v>
      </c>
      <c r="AC225" s="403"/>
    </row>
    <row r="226" spans="2:29" outlineLevel="1">
      <c r="B226" s="1167"/>
      <c r="C226" s="1168"/>
      <c r="D226" s="1750" t="s">
        <v>290</v>
      </c>
      <c r="E226" s="1751"/>
      <c r="F226" s="1751"/>
      <c r="G226" s="1752"/>
      <c r="H226" s="835"/>
      <c r="I226" s="1327" t="e">
        <f t="shared" si="39"/>
        <v>#DIV/0!</v>
      </c>
      <c r="J226" s="736" t="s">
        <v>365</v>
      </c>
      <c r="K226" s="736" t="s">
        <v>365</v>
      </c>
      <c r="L226" s="1330" t="str">
        <f t="shared" si="40"/>
        <v>Non renseigné</v>
      </c>
      <c r="M226" s="736" t="str">
        <f t="shared" si="41"/>
        <v>-</v>
      </c>
      <c r="N226" s="822" t="e">
        <f t="shared" si="42"/>
        <v>#VALUE!</v>
      </c>
      <c r="O226" s="733" t="e">
        <f t="shared" si="43"/>
        <v>#VALUE!</v>
      </c>
      <c r="P226" s="822" t="e">
        <f t="shared" si="44"/>
        <v>#VALUE!</v>
      </c>
      <c r="Q226" s="823"/>
      <c r="R226" s="942"/>
      <c r="S226" s="402" t="e">
        <f t="shared" si="45"/>
        <v>#VALUE!</v>
      </c>
      <c r="T226" s="402" t="e">
        <f t="shared" si="46"/>
        <v>#VALUE!</v>
      </c>
      <c r="U226" s="402" t="e">
        <f t="shared" si="47"/>
        <v>#VALUE!</v>
      </c>
      <c r="V226" s="402" t="e">
        <f t="shared" si="48"/>
        <v>#VALUE!</v>
      </c>
      <c r="W226" s="402" t="e">
        <f t="shared" si="49"/>
        <v>#VALUE!</v>
      </c>
      <c r="X226" s="402" t="e">
        <f t="shared" si="50"/>
        <v>#VALUE!</v>
      </c>
      <c r="Y226" s="402" t="e">
        <f t="shared" si="51"/>
        <v>#VALUE!</v>
      </c>
      <c r="Z226" s="402" t="e">
        <f t="shared" si="52"/>
        <v>#VALUE!</v>
      </c>
      <c r="AA226" s="402" t="e">
        <f t="shared" si="53"/>
        <v>#VALUE!</v>
      </c>
      <c r="AB226" s="669" t="e">
        <f t="shared" si="54"/>
        <v>#VALUE!</v>
      </c>
    </row>
    <row r="227" spans="2:29" s="121" customFormat="1" outlineLevel="1">
      <c r="B227" s="1167"/>
      <c r="C227" s="1168"/>
      <c r="D227" s="1750" t="s">
        <v>290</v>
      </c>
      <c r="E227" s="1751"/>
      <c r="F227" s="1751"/>
      <c r="G227" s="1752"/>
      <c r="H227" s="835"/>
      <c r="I227" s="1327" t="e">
        <f t="shared" si="39"/>
        <v>#DIV/0!</v>
      </c>
      <c r="J227" s="736" t="s">
        <v>365</v>
      </c>
      <c r="K227" s="736" t="s">
        <v>365</v>
      </c>
      <c r="L227" s="1330" t="str">
        <f t="shared" si="40"/>
        <v>Non renseigné</v>
      </c>
      <c r="M227" s="736" t="str">
        <f t="shared" si="41"/>
        <v>-</v>
      </c>
      <c r="N227" s="822" t="e">
        <f t="shared" si="42"/>
        <v>#VALUE!</v>
      </c>
      <c r="O227" s="733" t="e">
        <f t="shared" si="43"/>
        <v>#VALUE!</v>
      </c>
      <c r="P227" s="822" t="e">
        <f t="shared" si="44"/>
        <v>#VALUE!</v>
      </c>
      <c r="Q227" s="823"/>
      <c r="R227" s="942"/>
      <c r="S227" s="402" t="e">
        <f t="shared" si="45"/>
        <v>#VALUE!</v>
      </c>
      <c r="T227" s="402" t="e">
        <f t="shared" si="46"/>
        <v>#VALUE!</v>
      </c>
      <c r="U227" s="402" t="e">
        <f t="shared" si="47"/>
        <v>#VALUE!</v>
      </c>
      <c r="V227" s="402" t="e">
        <f t="shared" si="48"/>
        <v>#VALUE!</v>
      </c>
      <c r="W227" s="402" t="e">
        <f t="shared" si="49"/>
        <v>#VALUE!</v>
      </c>
      <c r="X227" s="402" t="e">
        <f t="shared" si="50"/>
        <v>#VALUE!</v>
      </c>
      <c r="Y227" s="402" t="e">
        <f t="shared" si="51"/>
        <v>#VALUE!</v>
      </c>
      <c r="Z227" s="402" t="e">
        <f t="shared" si="52"/>
        <v>#VALUE!</v>
      </c>
      <c r="AA227" s="402" t="e">
        <f t="shared" si="53"/>
        <v>#VALUE!</v>
      </c>
      <c r="AB227" s="669" t="e">
        <f t="shared" si="54"/>
        <v>#VALUE!</v>
      </c>
      <c r="AC227" s="403"/>
    </row>
    <row r="228" spans="2:29" s="121" customFormat="1" outlineLevel="1">
      <c r="B228" s="1167"/>
      <c r="C228" s="1168"/>
      <c r="D228" s="1750" t="s">
        <v>290</v>
      </c>
      <c r="E228" s="1751"/>
      <c r="F228" s="1751"/>
      <c r="G228" s="1752"/>
      <c r="H228" s="835"/>
      <c r="I228" s="1327" t="e">
        <f t="shared" si="39"/>
        <v>#DIV/0!</v>
      </c>
      <c r="J228" s="736" t="s">
        <v>365</v>
      </c>
      <c r="K228" s="736" t="s">
        <v>365</v>
      </c>
      <c r="L228" s="1330" t="str">
        <f t="shared" si="40"/>
        <v>Non renseigné</v>
      </c>
      <c r="M228" s="736" t="str">
        <f t="shared" si="41"/>
        <v>-</v>
      </c>
      <c r="N228" s="822" t="e">
        <f t="shared" si="42"/>
        <v>#VALUE!</v>
      </c>
      <c r="O228" s="733" t="e">
        <f t="shared" si="43"/>
        <v>#VALUE!</v>
      </c>
      <c r="P228" s="822" t="e">
        <f t="shared" si="44"/>
        <v>#VALUE!</v>
      </c>
      <c r="Q228" s="823"/>
      <c r="R228" s="942"/>
      <c r="S228" s="402" t="e">
        <f t="shared" si="45"/>
        <v>#VALUE!</v>
      </c>
      <c r="T228" s="402" t="e">
        <f t="shared" si="46"/>
        <v>#VALUE!</v>
      </c>
      <c r="U228" s="402" t="e">
        <f t="shared" si="47"/>
        <v>#VALUE!</v>
      </c>
      <c r="V228" s="402" t="e">
        <f t="shared" si="48"/>
        <v>#VALUE!</v>
      </c>
      <c r="W228" s="402" t="e">
        <f t="shared" si="49"/>
        <v>#VALUE!</v>
      </c>
      <c r="X228" s="402" t="e">
        <f t="shared" si="50"/>
        <v>#VALUE!</v>
      </c>
      <c r="Y228" s="402" t="e">
        <f t="shared" si="51"/>
        <v>#VALUE!</v>
      </c>
      <c r="Z228" s="402" t="e">
        <f t="shared" si="52"/>
        <v>#VALUE!</v>
      </c>
      <c r="AA228" s="402" t="e">
        <f t="shared" si="53"/>
        <v>#VALUE!</v>
      </c>
      <c r="AB228" s="669" t="e">
        <f t="shared" si="54"/>
        <v>#VALUE!</v>
      </c>
      <c r="AC228" s="403"/>
    </row>
    <row r="229" spans="2:29" s="121" customFormat="1" outlineLevel="1">
      <c r="B229" s="1167"/>
      <c r="C229" s="1168"/>
      <c r="D229" s="1750" t="s">
        <v>290</v>
      </c>
      <c r="E229" s="1751"/>
      <c r="F229" s="1751"/>
      <c r="G229" s="1752"/>
      <c r="H229" s="835"/>
      <c r="I229" s="1327" t="e">
        <f t="shared" si="39"/>
        <v>#DIV/0!</v>
      </c>
      <c r="J229" s="736" t="s">
        <v>365</v>
      </c>
      <c r="K229" s="736" t="s">
        <v>365</v>
      </c>
      <c r="L229" s="1330" t="str">
        <f t="shared" si="40"/>
        <v>Non renseigné</v>
      </c>
      <c r="M229" s="736" t="str">
        <f t="shared" si="41"/>
        <v>-</v>
      </c>
      <c r="N229" s="822" t="e">
        <f t="shared" si="42"/>
        <v>#VALUE!</v>
      </c>
      <c r="O229" s="733" t="e">
        <f t="shared" si="43"/>
        <v>#VALUE!</v>
      </c>
      <c r="P229" s="822" t="e">
        <f t="shared" si="44"/>
        <v>#VALUE!</v>
      </c>
      <c r="Q229" s="823"/>
      <c r="R229" s="942"/>
      <c r="S229" s="402" t="e">
        <f t="shared" si="45"/>
        <v>#VALUE!</v>
      </c>
      <c r="T229" s="402" t="e">
        <f t="shared" si="46"/>
        <v>#VALUE!</v>
      </c>
      <c r="U229" s="402" t="e">
        <f t="shared" si="47"/>
        <v>#VALUE!</v>
      </c>
      <c r="V229" s="402" t="e">
        <f t="shared" si="48"/>
        <v>#VALUE!</v>
      </c>
      <c r="W229" s="402" t="e">
        <f t="shared" si="49"/>
        <v>#VALUE!</v>
      </c>
      <c r="X229" s="402" t="e">
        <f t="shared" si="50"/>
        <v>#VALUE!</v>
      </c>
      <c r="Y229" s="402" t="e">
        <f t="shared" si="51"/>
        <v>#VALUE!</v>
      </c>
      <c r="Z229" s="402" t="e">
        <f t="shared" si="52"/>
        <v>#VALUE!</v>
      </c>
      <c r="AA229" s="402" t="e">
        <f t="shared" si="53"/>
        <v>#VALUE!</v>
      </c>
      <c r="AB229" s="669" t="e">
        <f t="shared" si="54"/>
        <v>#VALUE!</v>
      </c>
      <c r="AC229" s="403"/>
    </row>
    <row r="230" spans="2:29" s="121" customFormat="1" outlineLevel="1">
      <c r="B230" s="1167"/>
      <c r="C230" s="1168"/>
      <c r="D230" s="1750" t="s">
        <v>290</v>
      </c>
      <c r="E230" s="1751"/>
      <c r="F230" s="1751"/>
      <c r="G230" s="1752"/>
      <c r="H230" s="835"/>
      <c r="I230" s="1327" t="e">
        <f t="shared" si="0"/>
        <v>#DIV/0!</v>
      </c>
      <c r="J230" s="736" t="s">
        <v>365</v>
      </c>
      <c r="K230" s="736" t="s">
        <v>365</v>
      </c>
      <c r="L230" s="1330" t="str">
        <f t="shared" si="16"/>
        <v>Non renseigné</v>
      </c>
      <c r="M230" s="736" t="str">
        <f t="shared" si="12"/>
        <v>-</v>
      </c>
      <c r="N230" s="822" t="e">
        <f t="shared" si="13"/>
        <v>#VALUE!</v>
      </c>
      <c r="O230" s="733" t="e">
        <f t="shared" si="27"/>
        <v>#VALUE!</v>
      </c>
      <c r="P230" s="822" t="e">
        <f t="shared" si="28"/>
        <v>#VALUE!</v>
      </c>
      <c r="Q230" s="823"/>
      <c r="R230" s="942"/>
      <c r="S230" s="402" t="e">
        <f t="shared" si="17"/>
        <v>#VALUE!</v>
      </c>
      <c r="T230" s="402" t="e">
        <f t="shared" si="18"/>
        <v>#VALUE!</v>
      </c>
      <c r="U230" s="402" t="e">
        <f t="shared" si="19"/>
        <v>#VALUE!</v>
      </c>
      <c r="V230" s="402" t="e">
        <f t="shared" si="20"/>
        <v>#VALUE!</v>
      </c>
      <c r="W230" s="402" t="e">
        <f t="shared" si="21"/>
        <v>#VALUE!</v>
      </c>
      <c r="X230" s="402" t="e">
        <f t="shared" si="22"/>
        <v>#VALUE!</v>
      </c>
      <c r="Y230" s="402" t="e">
        <f t="shared" si="23"/>
        <v>#VALUE!</v>
      </c>
      <c r="Z230" s="402" t="e">
        <f t="shared" si="24"/>
        <v>#VALUE!</v>
      </c>
      <c r="AA230" s="402" t="e">
        <f t="shared" si="25"/>
        <v>#VALUE!</v>
      </c>
      <c r="AB230" s="669" t="e">
        <f t="shared" si="26"/>
        <v>#VALUE!</v>
      </c>
      <c r="AC230" s="403"/>
    </row>
    <row r="231" spans="2:29" s="121" customFormat="1" outlineLevel="1">
      <c r="B231" s="1167"/>
      <c r="C231" s="1168"/>
      <c r="D231" s="1750" t="s">
        <v>290</v>
      </c>
      <c r="E231" s="1751"/>
      <c r="F231" s="1751"/>
      <c r="G231" s="1752"/>
      <c r="H231" s="835"/>
      <c r="I231" s="1327" t="e">
        <f t="shared" si="0"/>
        <v>#DIV/0!</v>
      </c>
      <c r="J231" s="736" t="s">
        <v>365</v>
      </c>
      <c r="K231" s="736" t="s">
        <v>365</v>
      </c>
      <c r="L231" s="1330" t="str">
        <f t="shared" si="16"/>
        <v>Non renseigné</v>
      </c>
      <c r="M231" s="736" t="str">
        <f t="shared" si="12"/>
        <v>-</v>
      </c>
      <c r="N231" s="822" t="e">
        <f t="shared" si="13"/>
        <v>#VALUE!</v>
      </c>
      <c r="O231" s="733" t="e">
        <f t="shared" si="27"/>
        <v>#VALUE!</v>
      </c>
      <c r="P231" s="822" t="e">
        <f t="shared" si="28"/>
        <v>#VALUE!</v>
      </c>
      <c r="Q231" s="823"/>
      <c r="R231" s="942"/>
      <c r="S231" s="402" t="e">
        <f t="shared" si="17"/>
        <v>#VALUE!</v>
      </c>
      <c r="T231" s="402" t="e">
        <f t="shared" si="18"/>
        <v>#VALUE!</v>
      </c>
      <c r="U231" s="402" t="e">
        <f t="shared" si="19"/>
        <v>#VALUE!</v>
      </c>
      <c r="V231" s="402" t="e">
        <f t="shared" si="20"/>
        <v>#VALUE!</v>
      </c>
      <c r="W231" s="402" t="e">
        <f t="shared" si="21"/>
        <v>#VALUE!</v>
      </c>
      <c r="X231" s="402" t="e">
        <f t="shared" si="22"/>
        <v>#VALUE!</v>
      </c>
      <c r="Y231" s="402" t="e">
        <f t="shared" si="23"/>
        <v>#VALUE!</v>
      </c>
      <c r="Z231" s="402" t="e">
        <f t="shared" si="24"/>
        <v>#VALUE!</v>
      </c>
      <c r="AA231" s="402" t="e">
        <f t="shared" si="25"/>
        <v>#VALUE!</v>
      </c>
      <c r="AB231" s="669" t="e">
        <f t="shared" si="26"/>
        <v>#VALUE!</v>
      </c>
      <c r="AC231" s="403"/>
    </row>
    <row r="232" spans="2:29" s="121" customFormat="1" outlineLevel="1">
      <c r="B232" s="1167"/>
      <c r="C232" s="1168"/>
      <c r="D232" s="1750" t="s">
        <v>290</v>
      </c>
      <c r="E232" s="1751"/>
      <c r="F232" s="1751"/>
      <c r="G232" s="1752"/>
      <c r="H232" s="835"/>
      <c r="I232" s="1327" t="e">
        <f t="shared" si="0"/>
        <v>#DIV/0!</v>
      </c>
      <c r="J232" s="736" t="s">
        <v>365</v>
      </c>
      <c r="K232" s="736" t="s">
        <v>365</v>
      </c>
      <c r="L232" s="1330" t="str">
        <f t="shared" si="16"/>
        <v>Non renseigné</v>
      </c>
      <c r="M232" s="736" t="str">
        <f t="shared" si="12"/>
        <v>-</v>
      </c>
      <c r="N232" s="822" t="e">
        <f t="shared" si="13"/>
        <v>#VALUE!</v>
      </c>
      <c r="O232" s="733" t="e">
        <f t="shared" si="27"/>
        <v>#VALUE!</v>
      </c>
      <c r="P232" s="822" t="e">
        <f t="shared" si="28"/>
        <v>#VALUE!</v>
      </c>
      <c r="Q232" s="823"/>
      <c r="R232" s="942"/>
      <c r="S232" s="402" t="e">
        <f t="shared" si="17"/>
        <v>#VALUE!</v>
      </c>
      <c r="T232" s="402" t="e">
        <f t="shared" si="18"/>
        <v>#VALUE!</v>
      </c>
      <c r="U232" s="402" t="e">
        <f t="shared" si="19"/>
        <v>#VALUE!</v>
      </c>
      <c r="V232" s="402" t="e">
        <f t="shared" si="20"/>
        <v>#VALUE!</v>
      </c>
      <c r="W232" s="402" t="e">
        <f t="shared" si="21"/>
        <v>#VALUE!</v>
      </c>
      <c r="X232" s="402" t="e">
        <f t="shared" si="22"/>
        <v>#VALUE!</v>
      </c>
      <c r="Y232" s="402" t="e">
        <f t="shared" si="23"/>
        <v>#VALUE!</v>
      </c>
      <c r="Z232" s="402" t="e">
        <f t="shared" si="24"/>
        <v>#VALUE!</v>
      </c>
      <c r="AA232" s="402" t="e">
        <f t="shared" si="25"/>
        <v>#VALUE!</v>
      </c>
      <c r="AB232" s="669" t="e">
        <f t="shared" si="26"/>
        <v>#VALUE!</v>
      </c>
      <c r="AC232" s="403"/>
    </row>
    <row r="233" spans="2:29" s="121" customFormat="1" outlineLevel="1">
      <c r="B233" s="1167"/>
      <c r="C233" s="1168"/>
      <c r="D233" s="1750" t="s">
        <v>290</v>
      </c>
      <c r="E233" s="1751"/>
      <c r="F233" s="1751"/>
      <c r="G233" s="1752"/>
      <c r="H233" s="835"/>
      <c r="I233" s="1327" t="e">
        <f t="shared" si="0"/>
        <v>#DIV/0!</v>
      </c>
      <c r="J233" s="736" t="s">
        <v>365</v>
      </c>
      <c r="K233" s="736" t="s">
        <v>365</v>
      </c>
      <c r="L233" s="1330" t="str">
        <f t="shared" si="16"/>
        <v>Non renseigné</v>
      </c>
      <c r="M233" s="736" t="str">
        <f t="shared" si="12"/>
        <v>-</v>
      </c>
      <c r="N233" s="822" t="e">
        <f t="shared" si="13"/>
        <v>#VALUE!</v>
      </c>
      <c r="O233" s="733" t="e">
        <f t="shared" si="27"/>
        <v>#VALUE!</v>
      </c>
      <c r="P233" s="822" t="e">
        <f t="shared" si="28"/>
        <v>#VALUE!</v>
      </c>
      <c r="Q233" s="823"/>
      <c r="R233" s="942"/>
      <c r="S233" s="402" t="e">
        <f t="shared" si="17"/>
        <v>#VALUE!</v>
      </c>
      <c r="T233" s="402" t="e">
        <f t="shared" si="18"/>
        <v>#VALUE!</v>
      </c>
      <c r="U233" s="402" t="e">
        <f t="shared" si="19"/>
        <v>#VALUE!</v>
      </c>
      <c r="V233" s="402" t="e">
        <f t="shared" si="20"/>
        <v>#VALUE!</v>
      </c>
      <c r="W233" s="402" t="e">
        <f t="shared" si="21"/>
        <v>#VALUE!</v>
      </c>
      <c r="X233" s="402" t="e">
        <f t="shared" si="22"/>
        <v>#VALUE!</v>
      </c>
      <c r="Y233" s="402" t="e">
        <f t="shared" si="23"/>
        <v>#VALUE!</v>
      </c>
      <c r="Z233" s="402" t="e">
        <f t="shared" si="24"/>
        <v>#VALUE!</v>
      </c>
      <c r="AA233" s="402" t="e">
        <f t="shared" si="25"/>
        <v>#VALUE!</v>
      </c>
      <c r="AB233" s="669" t="e">
        <f t="shared" si="26"/>
        <v>#VALUE!</v>
      </c>
      <c r="AC233" s="403"/>
    </row>
    <row r="234" spans="2:29" s="121" customFormat="1" outlineLevel="1">
      <c r="B234" s="1167"/>
      <c r="C234" s="1168"/>
      <c r="D234" s="1750" t="s">
        <v>290</v>
      </c>
      <c r="E234" s="1751"/>
      <c r="F234" s="1751"/>
      <c r="G234" s="1752"/>
      <c r="H234" s="835"/>
      <c r="I234" s="1327" t="e">
        <f t="shared" si="0"/>
        <v>#DIV/0!</v>
      </c>
      <c r="J234" s="736" t="s">
        <v>365</v>
      </c>
      <c r="K234" s="736" t="s">
        <v>365</v>
      </c>
      <c r="L234" s="1330" t="str">
        <f t="shared" si="16"/>
        <v>Non renseigné</v>
      </c>
      <c r="M234" s="736" t="str">
        <f t="shared" si="12"/>
        <v>-</v>
      </c>
      <c r="N234" s="822" t="e">
        <f t="shared" si="13"/>
        <v>#VALUE!</v>
      </c>
      <c r="O234" s="733" t="e">
        <f t="shared" si="27"/>
        <v>#VALUE!</v>
      </c>
      <c r="P234" s="822" t="e">
        <f t="shared" si="28"/>
        <v>#VALUE!</v>
      </c>
      <c r="Q234" s="823"/>
      <c r="R234" s="942"/>
      <c r="S234" s="402" t="e">
        <f t="shared" si="17"/>
        <v>#VALUE!</v>
      </c>
      <c r="T234" s="402" t="e">
        <f t="shared" si="18"/>
        <v>#VALUE!</v>
      </c>
      <c r="U234" s="402" t="e">
        <f t="shared" si="19"/>
        <v>#VALUE!</v>
      </c>
      <c r="V234" s="402" t="e">
        <f t="shared" si="20"/>
        <v>#VALUE!</v>
      </c>
      <c r="W234" s="402" t="e">
        <f t="shared" si="21"/>
        <v>#VALUE!</v>
      </c>
      <c r="X234" s="402" t="e">
        <f t="shared" si="22"/>
        <v>#VALUE!</v>
      </c>
      <c r="Y234" s="402" t="e">
        <f t="shared" si="23"/>
        <v>#VALUE!</v>
      </c>
      <c r="Z234" s="402" t="e">
        <f t="shared" si="24"/>
        <v>#VALUE!</v>
      </c>
      <c r="AA234" s="402" t="e">
        <f t="shared" si="25"/>
        <v>#VALUE!</v>
      </c>
      <c r="AB234" s="669" t="e">
        <f t="shared" si="26"/>
        <v>#VALUE!</v>
      </c>
      <c r="AC234" s="403"/>
    </row>
    <row r="235" spans="2:29" s="121" customFormat="1" outlineLevel="1">
      <c r="B235" s="1167"/>
      <c r="C235" s="1168"/>
      <c r="D235" s="1750" t="s">
        <v>290</v>
      </c>
      <c r="E235" s="1751"/>
      <c r="F235" s="1751"/>
      <c r="G235" s="1752"/>
      <c r="H235" s="835"/>
      <c r="I235" s="1327" t="e">
        <f t="shared" si="0"/>
        <v>#DIV/0!</v>
      </c>
      <c r="J235" s="736" t="s">
        <v>365</v>
      </c>
      <c r="K235" s="736" t="s">
        <v>365</v>
      </c>
      <c r="L235" s="1330" t="str">
        <f t="shared" si="16"/>
        <v>Non renseigné</v>
      </c>
      <c r="M235" s="736" t="str">
        <f t="shared" si="12"/>
        <v>-</v>
      </c>
      <c r="N235" s="822" t="e">
        <f t="shared" si="13"/>
        <v>#VALUE!</v>
      </c>
      <c r="O235" s="733" t="e">
        <f t="shared" si="27"/>
        <v>#VALUE!</v>
      </c>
      <c r="P235" s="822" t="e">
        <f t="shared" si="28"/>
        <v>#VALUE!</v>
      </c>
      <c r="Q235" s="823"/>
      <c r="R235" s="942"/>
      <c r="S235" s="402" t="e">
        <f t="shared" si="17"/>
        <v>#VALUE!</v>
      </c>
      <c r="T235" s="402" t="e">
        <f t="shared" si="18"/>
        <v>#VALUE!</v>
      </c>
      <c r="U235" s="402" t="e">
        <f t="shared" si="19"/>
        <v>#VALUE!</v>
      </c>
      <c r="V235" s="402" t="e">
        <f t="shared" si="20"/>
        <v>#VALUE!</v>
      </c>
      <c r="W235" s="402" t="e">
        <f t="shared" si="21"/>
        <v>#VALUE!</v>
      </c>
      <c r="X235" s="402" t="e">
        <f t="shared" si="22"/>
        <v>#VALUE!</v>
      </c>
      <c r="Y235" s="402" t="e">
        <f t="shared" si="23"/>
        <v>#VALUE!</v>
      </c>
      <c r="Z235" s="402" t="e">
        <f t="shared" si="24"/>
        <v>#VALUE!</v>
      </c>
      <c r="AA235" s="402" t="e">
        <f t="shared" si="25"/>
        <v>#VALUE!</v>
      </c>
      <c r="AB235" s="669" t="e">
        <f t="shared" si="26"/>
        <v>#VALUE!</v>
      </c>
      <c r="AC235" s="403"/>
    </row>
    <row r="236" spans="2:29" s="121" customFormat="1" outlineLevel="1">
      <c r="B236" s="1167"/>
      <c r="C236" s="1168"/>
      <c r="D236" s="1750" t="s">
        <v>290</v>
      </c>
      <c r="E236" s="1751"/>
      <c r="F236" s="1751"/>
      <c r="G236" s="1752"/>
      <c r="H236" s="835"/>
      <c r="I236" s="1327" t="e">
        <f t="shared" si="0"/>
        <v>#DIV/0!</v>
      </c>
      <c r="J236" s="736" t="s">
        <v>365</v>
      </c>
      <c r="K236" s="736" t="s">
        <v>365</v>
      </c>
      <c r="L236" s="1330" t="str">
        <f t="shared" si="16"/>
        <v>Non renseigné</v>
      </c>
      <c r="M236" s="736" t="str">
        <f t="shared" si="12"/>
        <v>-</v>
      </c>
      <c r="N236" s="822" t="e">
        <f t="shared" si="13"/>
        <v>#VALUE!</v>
      </c>
      <c r="O236" s="733" t="e">
        <f t="shared" si="27"/>
        <v>#VALUE!</v>
      </c>
      <c r="P236" s="822" t="e">
        <f t="shared" si="28"/>
        <v>#VALUE!</v>
      </c>
      <c r="Q236" s="823"/>
      <c r="R236" s="942"/>
      <c r="S236" s="402" t="e">
        <f t="shared" si="17"/>
        <v>#VALUE!</v>
      </c>
      <c r="T236" s="402" t="e">
        <f t="shared" si="18"/>
        <v>#VALUE!</v>
      </c>
      <c r="U236" s="402" t="e">
        <f t="shared" si="19"/>
        <v>#VALUE!</v>
      </c>
      <c r="V236" s="402" t="e">
        <f t="shared" si="20"/>
        <v>#VALUE!</v>
      </c>
      <c r="W236" s="402" t="e">
        <f t="shared" si="21"/>
        <v>#VALUE!</v>
      </c>
      <c r="X236" s="402" t="e">
        <f t="shared" si="22"/>
        <v>#VALUE!</v>
      </c>
      <c r="Y236" s="402" t="e">
        <f t="shared" si="23"/>
        <v>#VALUE!</v>
      </c>
      <c r="Z236" s="402" t="e">
        <f t="shared" si="24"/>
        <v>#VALUE!</v>
      </c>
      <c r="AA236" s="402" t="e">
        <f t="shared" si="25"/>
        <v>#VALUE!</v>
      </c>
      <c r="AB236" s="669" t="e">
        <f t="shared" si="26"/>
        <v>#VALUE!</v>
      </c>
      <c r="AC236" s="403"/>
    </row>
    <row r="237" spans="2:29" s="121" customFormat="1" outlineLevel="1">
      <c r="B237" s="1167"/>
      <c r="C237" s="1168"/>
      <c r="D237" s="1750" t="s">
        <v>290</v>
      </c>
      <c r="E237" s="1751"/>
      <c r="F237" s="1751"/>
      <c r="G237" s="1752"/>
      <c r="H237" s="835"/>
      <c r="I237" s="1327" t="e">
        <f t="shared" si="0"/>
        <v>#DIV/0!</v>
      </c>
      <c r="J237" s="736" t="s">
        <v>365</v>
      </c>
      <c r="K237" s="736" t="s">
        <v>365</v>
      </c>
      <c r="L237" s="1330" t="str">
        <f t="shared" si="16"/>
        <v>Non renseigné</v>
      </c>
      <c r="M237" s="736" t="str">
        <f t="shared" si="12"/>
        <v>-</v>
      </c>
      <c r="N237" s="822" t="e">
        <f t="shared" si="13"/>
        <v>#VALUE!</v>
      </c>
      <c r="O237" s="733" t="e">
        <f t="shared" si="27"/>
        <v>#VALUE!</v>
      </c>
      <c r="P237" s="822" t="e">
        <f t="shared" si="28"/>
        <v>#VALUE!</v>
      </c>
      <c r="Q237" s="823"/>
      <c r="R237" s="942"/>
      <c r="S237" s="402" t="e">
        <f t="shared" si="17"/>
        <v>#VALUE!</v>
      </c>
      <c r="T237" s="402" t="e">
        <f t="shared" si="18"/>
        <v>#VALUE!</v>
      </c>
      <c r="U237" s="402" t="e">
        <f t="shared" si="19"/>
        <v>#VALUE!</v>
      </c>
      <c r="V237" s="402" t="e">
        <f t="shared" si="20"/>
        <v>#VALUE!</v>
      </c>
      <c r="W237" s="402" t="e">
        <f t="shared" si="21"/>
        <v>#VALUE!</v>
      </c>
      <c r="X237" s="402" t="e">
        <f t="shared" si="22"/>
        <v>#VALUE!</v>
      </c>
      <c r="Y237" s="402" t="e">
        <f t="shared" si="23"/>
        <v>#VALUE!</v>
      </c>
      <c r="Z237" s="402" t="e">
        <f t="shared" si="24"/>
        <v>#VALUE!</v>
      </c>
      <c r="AA237" s="402" t="e">
        <f t="shared" si="25"/>
        <v>#VALUE!</v>
      </c>
      <c r="AB237" s="669" t="e">
        <f t="shared" si="26"/>
        <v>#VALUE!</v>
      </c>
      <c r="AC237" s="403"/>
    </row>
    <row r="238" spans="2:29" s="121" customFormat="1" outlineLevel="1">
      <c r="B238" s="1167"/>
      <c r="C238" s="1168"/>
      <c r="D238" s="1750" t="s">
        <v>290</v>
      </c>
      <c r="E238" s="1751"/>
      <c r="F238" s="1751"/>
      <c r="G238" s="1752"/>
      <c r="H238" s="835"/>
      <c r="I238" s="1327" t="e">
        <f t="shared" si="0"/>
        <v>#DIV/0!</v>
      </c>
      <c r="J238" s="736" t="s">
        <v>365</v>
      </c>
      <c r="K238" s="736" t="s">
        <v>365</v>
      </c>
      <c r="L238" s="1330" t="str">
        <f t="shared" si="16"/>
        <v>Non renseigné</v>
      </c>
      <c r="M238" s="736" t="str">
        <f t="shared" si="12"/>
        <v>-</v>
      </c>
      <c r="N238" s="822" t="e">
        <f t="shared" si="13"/>
        <v>#VALUE!</v>
      </c>
      <c r="O238" s="733" t="e">
        <f t="shared" si="27"/>
        <v>#VALUE!</v>
      </c>
      <c r="P238" s="822" t="e">
        <f t="shared" si="28"/>
        <v>#VALUE!</v>
      </c>
      <c r="Q238" s="823"/>
      <c r="R238" s="942"/>
      <c r="S238" s="402" t="e">
        <f t="shared" si="17"/>
        <v>#VALUE!</v>
      </c>
      <c r="T238" s="402" t="e">
        <f t="shared" si="18"/>
        <v>#VALUE!</v>
      </c>
      <c r="U238" s="402" t="e">
        <f t="shared" si="19"/>
        <v>#VALUE!</v>
      </c>
      <c r="V238" s="402" t="e">
        <f t="shared" si="20"/>
        <v>#VALUE!</v>
      </c>
      <c r="W238" s="402" t="e">
        <f t="shared" si="21"/>
        <v>#VALUE!</v>
      </c>
      <c r="X238" s="402" t="e">
        <f t="shared" si="22"/>
        <v>#VALUE!</v>
      </c>
      <c r="Y238" s="402" t="e">
        <f t="shared" si="23"/>
        <v>#VALUE!</v>
      </c>
      <c r="Z238" s="402" t="e">
        <f t="shared" si="24"/>
        <v>#VALUE!</v>
      </c>
      <c r="AA238" s="402" t="e">
        <f t="shared" si="25"/>
        <v>#VALUE!</v>
      </c>
      <c r="AB238" s="669" t="e">
        <f t="shared" si="26"/>
        <v>#VALUE!</v>
      </c>
      <c r="AC238" s="403"/>
    </row>
    <row r="239" spans="2:29" s="121" customFormat="1" outlineLevel="1">
      <c r="B239" s="1167"/>
      <c r="C239" s="1168"/>
      <c r="D239" s="1750" t="s">
        <v>290</v>
      </c>
      <c r="E239" s="1751"/>
      <c r="F239" s="1751"/>
      <c r="G239" s="1752"/>
      <c r="H239" s="835"/>
      <c r="I239" s="1327" t="e">
        <f t="shared" si="0"/>
        <v>#DIV/0!</v>
      </c>
      <c r="J239" s="736" t="s">
        <v>365</v>
      </c>
      <c r="K239" s="736" t="s">
        <v>365</v>
      </c>
      <c r="L239" s="1330" t="str">
        <f t="shared" si="16"/>
        <v>Non renseigné</v>
      </c>
      <c r="M239" s="736" t="str">
        <f t="shared" si="12"/>
        <v>-</v>
      </c>
      <c r="N239" s="822" t="e">
        <f t="shared" si="13"/>
        <v>#VALUE!</v>
      </c>
      <c r="O239" s="733" t="e">
        <f t="shared" si="27"/>
        <v>#VALUE!</v>
      </c>
      <c r="P239" s="822" t="e">
        <f t="shared" si="28"/>
        <v>#VALUE!</v>
      </c>
      <c r="Q239" s="823"/>
      <c r="R239" s="942"/>
      <c r="S239" s="402" t="e">
        <f t="shared" si="17"/>
        <v>#VALUE!</v>
      </c>
      <c r="T239" s="402" t="e">
        <f t="shared" si="18"/>
        <v>#VALUE!</v>
      </c>
      <c r="U239" s="402" t="e">
        <f t="shared" si="19"/>
        <v>#VALUE!</v>
      </c>
      <c r="V239" s="402" t="e">
        <f t="shared" si="20"/>
        <v>#VALUE!</v>
      </c>
      <c r="W239" s="402" t="e">
        <f t="shared" si="21"/>
        <v>#VALUE!</v>
      </c>
      <c r="X239" s="402" t="e">
        <f t="shared" si="22"/>
        <v>#VALUE!</v>
      </c>
      <c r="Y239" s="402" t="e">
        <f t="shared" si="23"/>
        <v>#VALUE!</v>
      </c>
      <c r="Z239" s="402" t="e">
        <f t="shared" si="24"/>
        <v>#VALUE!</v>
      </c>
      <c r="AA239" s="402" t="e">
        <f t="shared" si="25"/>
        <v>#VALUE!</v>
      </c>
      <c r="AB239" s="669" t="e">
        <f t="shared" si="26"/>
        <v>#VALUE!</v>
      </c>
      <c r="AC239" s="403"/>
    </row>
    <row r="240" spans="2:29" s="121" customFormat="1" outlineLevel="1">
      <c r="B240" s="1167"/>
      <c r="C240" s="1168"/>
      <c r="D240" s="1750" t="s">
        <v>290</v>
      </c>
      <c r="E240" s="1751"/>
      <c r="F240" s="1751"/>
      <c r="G240" s="1752"/>
      <c r="H240" s="835"/>
      <c r="I240" s="1327" t="e">
        <f t="shared" si="0"/>
        <v>#DIV/0!</v>
      </c>
      <c r="J240" s="736" t="s">
        <v>365</v>
      </c>
      <c r="K240" s="736" t="s">
        <v>365</v>
      </c>
      <c r="L240" s="1330" t="str">
        <f t="shared" si="16"/>
        <v>Non renseigné</v>
      </c>
      <c r="M240" s="736" t="str">
        <f t="shared" si="12"/>
        <v>-</v>
      </c>
      <c r="N240" s="822" t="e">
        <f t="shared" si="13"/>
        <v>#VALUE!</v>
      </c>
      <c r="O240" s="733" t="e">
        <f t="shared" si="27"/>
        <v>#VALUE!</v>
      </c>
      <c r="P240" s="822" t="e">
        <f t="shared" si="28"/>
        <v>#VALUE!</v>
      </c>
      <c r="Q240" s="823"/>
      <c r="R240" s="942"/>
      <c r="S240" s="402" t="e">
        <f t="shared" si="17"/>
        <v>#VALUE!</v>
      </c>
      <c r="T240" s="402" t="e">
        <f t="shared" si="18"/>
        <v>#VALUE!</v>
      </c>
      <c r="U240" s="402" t="e">
        <f t="shared" si="19"/>
        <v>#VALUE!</v>
      </c>
      <c r="V240" s="402" t="e">
        <f t="shared" si="20"/>
        <v>#VALUE!</v>
      </c>
      <c r="W240" s="402" t="e">
        <f t="shared" si="21"/>
        <v>#VALUE!</v>
      </c>
      <c r="X240" s="402" t="e">
        <f t="shared" si="22"/>
        <v>#VALUE!</v>
      </c>
      <c r="Y240" s="402" t="e">
        <f t="shared" si="23"/>
        <v>#VALUE!</v>
      </c>
      <c r="Z240" s="402" t="e">
        <f t="shared" si="24"/>
        <v>#VALUE!</v>
      </c>
      <c r="AA240" s="402" t="e">
        <f t="shared" si="25"/>
        <v>#VALUE!</v>
      </c>
      <c r="AB240" s="669" t="e">
        <f t="shared" si="26"/>
        <v>#VALUE!</v>
      </c>
      <c r="AC240" s="403"/>
    </row>
    <row r="241" spans="2:29" s="121" customFormat="1" outlineLevel="1">
      <c r="B241" s="1167"/>
      <c r="C241" s="1168"/>
      <c r="D241" s="1750" t="s">
        <v>290</v>
      </c>
      <c r="E241" s="1751"/>
      <c r="F241" s="1751"/>
      <c r="G241" s="1752"/>
      <c r="H241" s="835"/>
      <c r="I241" s="1327" t="e">
        <f t="shared" si="0"/>
        <v>#DIV/0!</v>
      </c>
      <c r="J241" s="736" t="s">
        <v>365</v>
      </c>
      <c r="K241" s="736" t="s">
        <v>365</v>
      </c>
      <c r="L241" s="1330" t="str">
        <f t="shared" si="16"/>
        <v>Non renseigné</v>
      </c>
      <c r="M241" s="736" t="str">
        <f t="shared" si="12"/>
        <v>-</v>
      </c>
      <c r="N241" s="822" t="e">
        <f t="shared" si="13"/>
        <v>#VALUE!</v>
      </c>
      <c r="O241" s="733" t="e">
        <f t="shared" si="27"/>
        <v>#VALUE!</v>
      </c>
      <c r="P241" s="822" t="e">
        <f t="shared" si="28"/>
        <v>#VALUE!</v>
      </c>
      <c r="Q241" s="823"/>
      <c r="R241" s="942"/>
      <c r="S241" s="402" t="e">
        <f t="shared" si="17"/>
        <v>#VALUE!</v>
      </c>
      <c r="T241" s="402" t="e">
        <f t="shared" si="18"/>
        <v>#VALUE!</v>
      </c>
      <c r="U241" s="402" t="e">
        <f t="shared" si="19"/>
        <v>#VALUE!</v>
      </c>
      <c r="V241" s="402" t="e">
        <f t="shared" si="20"/>
        <v>#VALUE!</v>
      </c>
      <c r="W241" s="402" t="e">
        <f t="shared" si="21"/>
        <v>#VALUE!</v>
      </c>
      <c r="X241" s="402" t="e">
        <f t="shared" si="22"/>
        <v>#VALUE!</v>
      </c>
      <c r="Y241" s="402" t="e">
        <f t="shared" si="23"/>
        <v>#VALUE!</v>
      </c>
      <c r="Z241" s="402" t="e">
        <f t="shared" si="24"/>
        <v>#VALUE!</v>
      </c>
      <c r="AA241" s="402" t="e">
        <f t="shared" si="25"/>
        <v>#VALUE!</v>
      </c>
      <c r="AB241" s="669" t="e">
        <f t="shared" si="26"/>
        <v>#VALUE!</v>
      </c>
      <c r="AC241" s="403"/>
    </row>
    <row r="242" spans="2:29" s="121" customFormat="1" outlineLevel="1">
      <c r="B242" s="1167"/>
      <c r="C242" s="1168"/>
      <c r="D242" s="1750" t="s">
        <v>290</v>
      </c>
      <c r="E242" s="1751"/>
      <c r="F242" s="1751"/>
      <c r="G242" s="1752"/>
      <c r="H242" s="835"/>
      <c r="I242" s="1327" t="e">
        <f t="shared" si="0"/>
        <v>#DIV/0!</v>
      </c>
      <c r="J242" s="736" t="s">
        <v>365</v>
      </c>
      <c r="K242" s="736" t="s">
        <v>365</v>
      </c>
      <c r="L242" s="1330" t="str">
        <f t="shared" si="16"/>
        <v>Non renseigné</v>
      </c>
      <c r="M242" s="736" t="str">
        <f t="shared" si="12"/>
        <v>-</v>
      </c>
      <c r="N242" s="822" t="e">
        <f t="shared" si="13"/>
        <v>#VALUE!</v>
      </c>
      <c r="O242" s="733" t="e">
        <f t="shared" si="27"/>
        <v>#VALUE!</v>
      </c>
      <c r="P242" s="822" t="e">
        <f t="shared" si="28"/>
        <v>#VALUE!</v>
      </c>
      <c r="Q242" s="823"/>
      <c r="R242" s="942"/>
      <c r="S242" s="402" t="e">
        <f t="shared" si="17"/>
        <v>#VALUE!</v>
      </c>
      <c r="T242" s="402" t="e">
        <f t="shared" si="18"/>
        <v>#VALUE!</v>
      </c>
      <c r="U242" s="402" t="e">
        <f t="shared" si="19"/>
        <v>#VALUE!</v>
      </c>
      <c r="V242" s="402" t="e">
        <f t="shared" si="20"/>
        <v>#VALUE!</v>
      </c>
      <c r="W242" s="402" t="e">
        <f t="shared" si="21"/>
        <v>#VALUE!</v>
      </c>
      <c r="X242" s="402" t="e">
        <f t="shared" si="22"/>
        <v>#VALUE!</v>
      </c>
      <c r="Y242" s="402" t="e">
        <f t="shared" si="23"/>
        <v>#VALUE!</v>
      </c>
      <c r="Z242" s="402" t="e">
        <f t="shared" si="24"/>
        <v>#VALUE!</v>
      </c>
      <c r="AA242" s="402" t="e">
        <f t="shared" si="25"/>
        <v>#VALUE!</v>
      </c>
      <c r="AB242" s="669" t="e">
        <f t="shared" si="26"/>
        <v>#VALUE!</v>
      </c>
      <c r="AC242" s="403"/>
    </row>
    <row r="243" spans="2:29" s="121" customFormat="1" outlineLevel="1">
      <c r="B243" s="1167"/>
      <c r="C243" s="1168"/>
      <c r="D243" s="1750" t="s">
        <v>290</v>
      </c>
      <c r="E243" s="1751"/>
      <c r="F243" s="1751"/>
      <c r="G243" s="1752"/>
      <c r="H243" s="835"/>
      <c r="I243" s="1327" t="e">
        <f t="shared" si="0"/>
        <v>#DIV/0!</v>
      </c>
      <c r="J243" s="736" t="s">
        <v>365</v>
      </c>
      <c r="K243" s="736" t="s">
        <v>365</v>
      </c>
      <c r="L243" s="1330" t="str">
        <f t="shared" si="16"/>
        <v>Non renseigné</v>
      </c>
      <c r="M243" s="736" t="str">
        <f t="shared" si="12"/>
        <v>-</v>
      </c>
      <c r="N243" s="822" t="e">
        <f t="shared" si="13"/>
        <v>#VALUE!</v>
      </c>
      <c r="O243" s="733" t="e">
        <f t="shared" si="27"/>
        <v>#VALUE!</v>
      </c>
      <c r="P243" s="822" t="e">
        <f t="shared" si="28"/>
        <v>#VALUE!</v>
      </c>
      <c r="Q243" s="823"/>
      <c r="R243" s="942"/>
      <c r="S243" s="402" t="e">
        <f t="shared" si="17"/>
        <v>#VALUE!</v>
      </c>
      <c r="T243" s="402" t="e">
        <f t="shared" si="18"/>
        <v>#VALUE!</v>
      </c>
      <c r="U243" s="402" t="e">
        <f t="shared" si="19"/>
        <v>#VALUE!</v>
      </c>
      <c r="V243" s="402" t="e">
        <f t="shared" si="20"/>
        <v>#VALUE!</v>
      </c>
      <c r="W243" s="402" t="e">
        <f t="shared" si="21"/>
        <v>#VALUE!</v>
      </c>
      <c r="X243" s="402" t="e">
        <f t="shared" si="22"/>
        <v>#VALUE!</v>
      </c>
      <c r="Y243" s="402" t="e">
        <f t="shared" si="23"/>
        <v>#VALUE!</v>
      </c>
      <c r="Z243" s="402" t="e">
        <f t="shared" si="24"/>
        <v>#VALUE!</v>
      </c>
      <c r="AA243" s="402" t="e">
        <f t="shared" si="25"/>
        <v>#VALUE!</v>
      </c>
      <c r="AB243" s="669" t="e">
        <f t="shared" si="26"/>
        <v>#VALUE!</v>
      </c>
      <c r="AC243" s="403"/>
    </row>
    <row r="244" spans="2:29" s="121" customFormat="1" outlineLevel="1">
      <c r="B244" s="1167"/>
      <c r="C244" s="1168"/>
      <c r="D244" s="1750" t="s">
        <v>290</v>
      </c>
      <c r="E244" s="1751"/>
      <c r="F244" s="1751"/>
      <c r="G244" s="1752"/>
      <c r="H244" s="835"/>
      <c r="I244" s="1327" t="e">
        <f t="shared" si="0"/>
        <v>#DIV/0!</v>
      </c>
      <c r="J244" s="736" t="s">
        <v>365</v>
      </c>
      <c r="K244" s="736" t="s">
        <v>365</v>
      </c>
      <c r="L244" s="1330" t="str">
        <f t="shared" si="16"/>
        <v>Non renseigné</v>
      </c>
      <c r="M244" s="736" t="str">
        <f t="shared" si="12"/>
        <v>-</v>
      </c>
      <c r="N244" s="822" t="e">
        <f t="shared" si="13"/>
        <v>#VALUE!</v>
      </c>
      <c r="O244" s="733" t="e">
        <f t="shared" si="27"/>
        <v>#VALUE!</v>
      </c>
      <c r="P244" s="822" t="e">
        <f t="shared" si="28"/>
        <v>#VALUE!</v>
      </c>
      <c r="Q244" s="823"/>
      <c r="R244" s="942"/>
      <c r="S244" s="402" t="e">
        <f t="shared" si="17"/>
        <v>#VALUE!</v>
      </c>
      <c r="T244" s="402" t="e">
        <f t="shared" si="18"/>
        <v>#VALUE!</v>
      </c>
      <c r="U244" s="402" t="e">
        <f t="shared" si="19"/>
        <v>#VALUE!</v>
      </c>
      <c r="V244" s="402" t="e">
        <f t="shared" si="20"/>
        <v>#VALUE!</v>
      </c>
      <c r="W244" s="402" t="e">
        <f t="shared" si="21"/>
        <v>#VALUE!</v>
      </c>
      <c r="X244" s="402" t="e">
        <f t="shared" si="22"/>
        <v>#VALUE!</v>
      </c>
      <c r="Y244" s="402" t="e">
        <f t="shared" si="23"/>
        <v>#VALUE!</v>
      </c>
      <c r="Z244" s="402" t="e">
        <f t="shared" si="24"/>
        <v>#VALUE!</v>
      </c>
      <c r="AA244" s="402" t="e">
        <f t="shared" si="25"/>
        <v>#VALUE!</v>
      </c>
      <c r="AB244" s="669" t="e">
        <f t="shared" si="26"/>
        <v>#VALUE!</v>
      </c>
      <c r="AC244" s="403"/>
    </row>
    <row r="245" spans="2:29" s="121" customFormat="1" outlineLevel="1">
      <c r="B245" s="1167"/>
      <c r="C245" s="1168"/>
      <c r="D245" s="1750" t="s">
        <v>290</v>
      </c>
      <c r="E245" s="1751"/>
      <c r="F245" s="1751"/>
      <c r="G245" s="1752"/>
      <c r="H245" s="835"/>
      <c r="I245" s="1327" t="e">
        <f t="shared" si="0"/>
        <v>#DIV/0!</v>
      </c>
      <c r="J245" s="736" t="s">
        <v>365</v>
      </c>
      <c r="K245" s="736" t="s">
        <v>365</v>
      </c>
      <c r="L245" s="1330" t="str">
        <f t="shared" si="16"/>
        <v>Non renseigné</v>
      </c>
      <c r="M245" s="736" t="str">
        <f t="shared" si="12"/>
        <v>-</v>
      </c>
      <c r="N245" s="822" t="e">
        <f t="shared" si="13"/>
        <v>#VALUE!</v>
      </c>
      <c r="O245" s="733" t="e">
        <f t="shared" si="27"/>
        <v>#VALUE!</v>
      </c>
      <c r="P245" s="822" t="e">
        <f t="shared" si="28"/>
        <v>#VALUE!</v>
      </c>
      <c r="Q245" s="823"/>
      <c r="R245" s="942"/>
      <c r="S245" s="402" t="e">
        <f t="shared" si="17"/>
        <v>#VALUE!</v>
      </c>
      <c r="T245" s="402" t="e">
        <f t="shared" si="18"/>
        <v>#VALUE!</v>
      </c>
      <c r="U245" s="402" t="e">
        <f t="shared" si="19"/>
        <v>#VALUE!</v>
      </c>
      <c r="V245" s="402" t="e">
        <f t="shared" si="20"/>
        <v>#VALUE!</v>
      </c>
      <c r="W245" s="402" t="e">
        <f t="shared" si="21"/>
        <v>#VALUE!</v>
      </c>
      <c r="X245" s="402" t="e">
        <f t="shared" si="22"/>
        <v>#VALUE!</v>
      </c>
      <c r="Y245" s="402" t="e">
        <f t="shared" si="23"/>
        <v>#VALUE!</v>
      </c>
      <c r="Z245" s="402" t="e">
        <f t="shared" si="24"/>
        <v>#VALUE!</v>
      </c>
      <c r="AA245" s="402" t="e">
        <f t="shared" si="25"/>
        <v>#VALUE!</v>
      </c>
      <c r="AB245" s="669" t="e">
        <f t="shared" si="26"/>
        <v>#VALUE!</v>
      </c>
      <c r="AC245" s="403"/>
    </row>
    <row r="246" spans="2:29" s="121" customFormat="1" outlineLevel="1">
      <c r="B246" s="1167"/>
      <c r="C246" s="1168"/>
      <c r="D246" s="1750" t="s">
        <v>290</v>
      </c>
      <c r="E246" s="1751"/>
      <c r="F246" s="1751"/>
      <c r="G246" s="1752"/>
      <c r="H246" s="835"/>
      <c r="I246" s="1327" t="e">
        <f t="shared" si="0"/>
        <v>#DIV/0!</v>
      </c>
      <c r="J246" s="736" t="s">
        <v>365</v>
      </c>
      <c r="K246" s="736" t="s">
        <v>365</v>
      </c>
      <c r="L246" s="1330" t="str">
        <f t="shared" si="16"/>
        <v>Non renseigné</v>
      </c>
      <c r="M246" s="736" t="str">
        <f t="shared" si="12"/>
        <v>-</v>
      </c>
      <c r="N246" s="822" t="e">
        <f t="shared" si="13"/>
        <v>#VALUE!</v>
      </c>
      <c r="O246" s="733" t="e">
        <f t="shared" si="27"/>
        <v>#VALUE!</v>
      </c>
      <c r="P246" s="822" t="e">
        <f t="shared" si="28"/>
        <v>#VALUE!</v>
      </c>
      <c r="Q246" s="823"/>
      <c r="R246" s="942"/>
      <c r="S246" s="402" t="e">
        <f t="shared" si="17"/>
        <v>#VALUE!</v>
      </c>
      <c r="T246" s="402" t="e">
        <f t="shared" si="18"/>
        <v>#VALUE!</v>
      </c>
      <c r="U246" s="402" t="e">
        <f t="shared" si="19"/>
        <v>#VALUE!</v>
      </c>
      <c r="V246" s="402" t="e">
        <f t="shared" si="20"/>
        <v>#VALUE!</v>
      </c>
      <c r="W246" s="402" t="e">
        <f t="shared" si="21"/>
        <v>#VALUE!</v>
      </c>
      <c r="X246" s="402" t="e">
        <f t="shared" si="22"/>
        <v>#VALUE!</v>
      </c>
      <c r="Y246" s="402" t="e">
        <f t="shared" si="23"/>
        <v>#VALUE!</v>
      </c>
      <c r="Z246" s="402" t="e">
        <f t="shared" si="24"/>
        <v>#VALUE!</v>
      </c>
      <c r="AA246" s="402" t="e">
        <f t="shared" si="25"/>
        <v>#VALUE!</v>
      </c>
      <c r="AB246" s="669" t="e">
        <f t="shared" si="26"/>
        <v>#VALUE!</v>
      </c>
      <c r="AC246" s="403"/>
    </row>
    <row r="247" spans="2:29" s="121" customFormat="1" outlineLevel="1">
      <c r="B247" s="1167"/>
      <c r="C247" s="1168"/>
      <c r="D247" s="1750" t="s">
        <v>290</v>
      </c>
      <c r="E247" s="1751"/>
      <c r="F247" s="1751"/>
      <c r="G247" s="1752"/>
      <c r="H247" s="835"/>
      <c r="I247" s="1327" t="e">
        <f t="shared" si="0"/>
        <v>#DIV/0!</v>
      </c>
      <c r="J247" s="736" t="s">
        <v>365</v>
      </c>
      <c r="K247" s="736" t="s">
        <v>365</v>
      </c>
      <c r="L247" s="1330" t="str">
        <f t="shared" si="16"/>
        <v>Non renseigné</v>
      </c>
      <c r="M247" s="736" t="str">
        <f t="shared" si="12"/>
        <v>-</v>
      </c>
      <c r="N247" s="822" t="e">
        <f t="shared" si="13"/>
        <v>#VALUE!</v>
      </c>
      <c r="O247" s="733" t="e">
        <f t="shared" si="27"/>
        <v>#VALUE!</v>
      </c>
      <c r="P247" s="822" t="e">
        <f t="shared" si="28"/>
        <v>#VALUE!</v>
      </c>
      <c r="Q247" s="823"/>
      <c r="R247" s="942"/>
      <c r="S247" s="402" t="e">
        <f t="shared" si="17"/>
        <v>#VALUE!</v>
      </c>
      <c r="T247" s="402" t="e">
        <f t="shared" si="18"/>
        <v>#VALUE!</v>
      </c>
      <c r="U247" s="402" t="e">
        <f t="shared" si="19"/>
        <v>#VALUE!</v>
      </c>
      <c r="V247" s="402" t="e">
        <f t="shared" si="20"/>
        <v>#VALUE!</v>
      </c>
      <c r="W247" s="402" t="e">
        <f t="shared" si="21"/>
        <v>#VALUE!</v>
      </c>
      <c r="X247" s="402" t="e">
        <f t="shared" si="22"/>
        <v>#VALUE!</v>
      </c>
      <c r="Y247" s="402" t="e">
        <f t="shared" si="23"/>
        <v>#VALUE!</v>
      </c>
      <c r="Z247" s="402" t="e">
        <f t="shared" si="24"/>
        <v>#VALUE!</v>
      </c>
      <c r="AA247" s="402" t="e">
        <f t="shared" si="25"/>
        <v>#VALUE!</v>
      </c>
      <c r="AB247" s="669" t="e">
        <f t="shared" si="26"/>
        <v>#VALUE!</v>
      </c>
      <c r="AC247" s="403"/>
    </row>
    <row r="248" spans="2:29" s="121" customFormat="1" outlineLevel="1">
      <c r="B248" s="1167"/>
      <c r="C248" s="1168"/>
      <c r="D248" s="1750" t="s">
        <v>290</v>
      </c>
      <c r="E248" s="1751"/>
      <c r="F248" s="1751"/>
      <c r="G248" s="1752"/>
      <c r="H248" s="835"/>
      <c r="I248" s="1327" t="e">
        <f t="shared" si="0"/>
        <v>#DIV/0!</v>
      </c>
      <c r="J248" s="736" t="s">
        <v>365</v>
      </c>
      <c r="K248" s="736" t="s">
        <v>365</v>
      </c>
      <c r="L248" s="1330" t="str">
        <f t="shared" si="16"/>
        <v>Non renseigné</v>
      </c>
      <c r="M248" s="736" t="str">
        <f t="shared" si="12"/>
        <v>-</v>
      </c>
      <c r="N248" s="822" t="e">
        <f t="shared" si="13"/>
        <v>#VALUE!</v>
      </c>
      <c r="O248" s="733" t="e">
        <f t="shared" si="27"/>
        <v>#VALUE!</v>
      </c>
      <c r="P248" s="822" t="e">
        <f t="shared" si="28"/>
        <v>#VALUE!</v>
      </c>
      <c r="Q248" s="823"/>
      <c r="R248" s="942"/>
      <c r="S248" s="402" t="e">
        <f t="shared" si="17"/>
        <v>#VALUE!</v>
      </c>
      <c r="T248" s="402" t="e">
        <f t="shared" si="18"/>
        <v>#VALUE!</v>
      </c>
      <c r="U248" s="402" t="e">
        <f t="shared" si="19"/>
        <v>#VALUE!</v>
      </c>
      <c r="V248" s="402" t="e">
        <f t="shared" si="20"/>
        <v>#VALUE!</v>
      </c>
      <c r="W248" s="402" t="e">
        <f t="shared" si="21"/>
        <v>#VALUE!</v>
      </c>
      <c r="X248" s="402" t="e">
        <f t="shared" si="22"/>
        <v>#VALUE!</v>
      </c>
      <c r="Y248" s="402" t="e">
        <f t="shared" si="23"/>
        <v>#VALUE!</v>
      </c>
      <c r="Z248" s="402" t="e">
        <f t="shared" si="24"/>
        <v>#VALUE!</v>
      </c>
      <c r="AA248" s="402" t="e">
        <f t="shared" si="25"/>
        <v>#VALUE!</v>
      </c>
      <c r="AB248" s="669" t="e">
        <f t="shared" si="26"/>
        <v>#VALUE!</v>
      </c>
      <c r="AC248" s="403"/>
    </row>
    <row r="249" spans="2:29" s="121" customFormat="1" outlineLevel="1">
      <c r="B249" s="1167"/>
      <c r="C249" s="1168"/>
      <c r="D249" s="1750" t="s">
        <v>290</v>
      </c>
      <c r="E249" s="1751"/>
      <c r="F249" s="1751"/>
      <c r="G249" s="1752"/>
      <c r="H249" s="835"/>
      <c r="I249" s="1327" t="e">
        <f t="shared" si="0"/>
        <v>#DIV/0!</v>
      </c>
      <c r="J249" s="736" t="s">
        <v>365</v>
      </c>
      <c r="K249" s="736" t="s">
        <v>365</v>
      </c>
      <c r="L249" s="1330" t="str">
        <f t="shared" si="16"/>
        <v>Non renseigné</v>
      </c>
      <c r="M249" s="736" t="str">
        <f t="shared" si="12"/>
        <v>-</v>
      </c>
      <c r="N249" s="822" t="e">
        <f t="shared" si="13"/>
        <v>#VALUE!</v>
      </c>
      <c r="O249" s="733" t="e">
        <f t="shared" si="27"/>
        <v>#VALUE!</v>
      </c>
      <c r="P249" s="822" t="e">
        <f t="shared" si="28"/>
        <v>#VALUE!</v>
      </c>
      <c r="Q249" s="823"/>
      <c r="R249" s="942"/>
      <c r="S249" s="402" t="e">
        <f t="shared" si="17"/>
        <v>#VALUE!</v>
      </c>
      <c r="T249" s="402" t="e">
        <f t="shared" si="18"/>
        <v>#VALUE!</v>
      </c>
      <c r="U249" s="402" t="e">
        <f t="shared" si="19"/>
        <v>#VALUE!</v>
      </c>
      <c r="V249" s="402" t="e">
        <f t="shared" si="20"/>
        <v>#VALUE!</v>
      </c>
      <c r="W249" s="402" t="e">
        <f t="shared" si="21"/>
        <v>#VALUE!</v>
      </c>
      <c r="X249" s="402" t="e">
        <f t="shared" si="22"/>
        <v>#VALUE!</v>
      </c>
      <c r="Y249" s="402" t="e">
        <f t="shared" si="23"/>
        <v>#VALUE!</v>
      </c>
      <c r="Z249" s="402" t="e">
        <f t="shared" si="24"/>
        <v>#VALUE!</v>
      </c>
      <c r="AA249" s="402" t="e">
        <f t="shared" si="25"/>
        <v>#VALUE!</v>
      </c>
      <c r="AB249" s="669" t="e">
        <f t="shared" si="26"/>
        <v>#VALUE!</v>
      </c>
      <c r="AC249" s="403"/>
    </row>
    <row r="250" spans="2:29" s="121" customFormat="1" outlineLevel="1">
      <c r="B250" s="1167"/>
      <c r="C250" s="1168"/>
      <c r="D250" s="1750" t="s">
        <v>290</v>
      </c>
      <c r="E250" s="1751"/>
      <c r="F250" s="1751"/>
      <c r="G250" s="1752"/>
      <c r="H250" s="835"/>
      <c r="I250" s="1327" t="e">
        <f t="shared" si="0"/>
        <v>#DIV/0!</v>
      </c>
      <c r="J250" s="736" t="s">
        <v>365</v>
      </c>
      <c r="K250" s="736" t="s">
        <v>365</v>
      </c>
      <c r="L250" s="1330" t="str">
        <f t="shared" si="16"/>
        <v>Non renseigné</v>
      </c>
      <c r="M250" s="736" t="str">
        <f t="shared" si="12"/>
        <v>-</v>
      </c>
      <c r="N250" s="822" t="e">
        <f t="shared" si="13"/>
        <v>#VALUE!</v>
      </c>
      <c r="O250" s="733" t="e">
        <f t="shared" si="27"/>
        <v>#VALUE!</v>
      </c>
      <c r="P250" s="822" t="e">
        <f t="shared" si="28"/>
        <v>#VALUE!</v>
      </c>
      <c r="Q250" s="823"/>
      <c r="R250" s="942"/>
      <c r="S250" s="402" t="e">
        <f t="shared" si="17"/>
        <v>#VALUE!</v>
      </c>
      <c r="T250" s="402" t="e">
        <f t="shared" si="18"/>
        <v>#VALUE!</v>
      </c>
      <c r="U250" s="402" t="e">
        <f t="shared" si="19"/>
        <v>#VALUE!</v>
      </c>
      <c r="V250" s="402" t="e">
        <f t="shared" si="20"/>
        <v>#VALUE!</v>
      </c>
      <c r="W250" s="402" t="e">
        <f t="shared" si="21"/>
        <v>#VALUE!</v>
      </c>
      <c r="X250" s="402" t="e">
        <f t="shared" si="22"/>
        <v>#VALUE!</v>
      </c>
      <c r="Y250" s="402" t="e">
        <f t="shared" si="23"/>
        <v>#VALUE!</v>
      </c>
      <c r="Z250" s="402" t="e">
        <f t="shared" si="24"/>
        <v>#VALUE!</v>
      </c>
      <c r="AA250" s="402" t="e">
        <f t="shared" si="25"/>
        <v>#VALUE!</v>
      </c>
      <c r="AB250" s="669" t="e">
        <f t="shared" si="26"/>
        <v>#VALUE!</v>
      </c>
      <c r="AC250" s="403"/>
    </row>
    <row r="251" spans="2:29" s="121" customFormat="1" outlineLevel="1">
      <c r="B251" s="1167"/>
      <c r="C251" s="1168"/>
      <c r="D251" s="1750" t="s">
        <v>290</v>
      </c>
      <c r="E251" s="1751"/>
      <c r="F251" s="1751"/>
      <c r="G251" s="1752"/>
      <c r="H251" s="835"/>
      <c r="I251" s="1327" t="e">
        <f t="shared" si="0"/>
        <v>#DIV/0!</v>
      </c>
      <c r="J251" s="736" t="s">
        <v>365</v>
      </c>
      <c r="K251" s="736" t="s">
        <v>365</v>
      </c>
      <c r="L251" s="1330" t="str">
        <f t="shared" si="16"/>
        <v>Non renseigné</v>
      </c>
      <c r="M251" s="736" t="str">
        <f t="shared" si="12"/>
        <v>-</v>
      </c>
      <c r="N251" s="822" t="e">
        <f t="shared" si="13"/>
        <v>#VALUE!</v>
      </c>
      <c r="O251" s="733" t="e">
        <f t="shared" si="27"/>
        <v>#VALUE!</v>
      </c>
      <c r="P251" s="822" t="e">
        <f t="shared" si="28"/>
        <v>#VALUE!</v>
      </c>
      <c r="Q251" s="823"/>
      <c r="R251" s="942"/>
      <c r="S251" s="402" t="e">
        <f t="shared" si="17"/>
        <v>#VALUE!</v>
      </c>
      <c r="T251" s="402" t="e">
        <f t="shared" si="18"/>
        <v>#VALUE!</v>
      </c>
      <c r="U251" s="402" t="e">
        <f t="shared" si="19"/>
        <v>#VALUE!</v>
      </c>
      <c r="V251" s="402" t="e">
        <f t="shared" si="20"/>
        <v>#VALUE!</v>
      </c>
      <c r="W251" s="402" t="e">
        <f t="shared" si="21"/>
        <v>#VALUE!</v>
      </c>
      <c r="X251" s="402" t="e">
        <f t="shared" si="22"/>
        <v>#VALUE!</v>
      </c>
      <c r="Y251" s="402" t="e">
        <f t="shared" si="23"/>
        <v>#VALUE!</v>
      </c>
      <c r="Z251" s="402" t="e">
        <f t="shared" si="24"/>
        <v>#VALUE!</v>
      </c>
      <c r="AA251" s="402" t="e">
        <f t="shared" si="25"/>
        <v>#VALUE!</v>
      </c>
      <c r="AB251" s="669" t="e">
        <f t="shared" si="26"/>
        <v>#VALUE!</v>
      </c>
      <c r="AC251" s="403"/>
    </row>
    <row r="252" spans="2:29" s="121" customFormat="1" outlineLevel="1">
      <c r="B252" s="1167"/>
      <c r="C252" s="1168"/>
      <c r="D252" s="1750" t="s">
        <v>290</v>
      </c>
      <c r="E252" s="1751"/>
      <c r="F252" s="1751"/>
      <c r="G252" s="1752"/>
      <c r="H252" s="835"/>
      <c r="I252" s="1327" t="e">
        <f t="shared" si="0"/>
        <v>#DIV/0!</v>
      </c>
      <c r="J252" s="736" t="s">
        <v>365</v>
      </c>
      <c r="K252" s="736" t="s">
        <v>365</v>
      </c>
      <c r="L252" s="1330" t="str">
        <f t="shared" si="16"/>
        <v>Non renseigné</v>
      </c>
      <c r="M252" s="736" t="str">
        <f t="shared" si="12"/>
        <v>-</v>
      </c>
      <c r="N252" s="822" t="e">
        <f t="shared" si="13"/>
        <v>#VALUE!</v>
      </c>
      <c r="O252" s="733" t="e">
        <f t="shared" si="27"/>
        <v>#VALUE!</v>
      </c>
      <c r="P252" s="822" t="e">
        <f t="shared" si="28"/>
        <v>#VALUE!</v>
      </c>
      <c r="Q252" s="823"/>
      <c r="R252" s="942"/>
      <c r="S252" s="402" t="e">
        <f t="shared" si="17"/>
        <v>#VALUE!</v>
      </c>
      <c r="T252" s="402" t="e">
        <f t="shared" si="18"/>
        <v>#VALUE!</v>
      </c>
      <c r="U252" s="402" t="e">
        <f t="shared" si="19"/>
        <v>#VALUE!</v>
      </c>
      <c r="V252" s="402" t="e">
        <f t="shared" si="20"/>
        <v>#VALUE!</v>
      </c>
      <c r="W252" s="402" t="e">
        <f t="shared" si="21"/>
        <v>#VALUE!</v>
      </c>
      <c r="X252" s="402" t="e">
        <f t="shared" si="22"/>
        <v>#VALUE!</v>
      </c>
      <c r="Y252" s="402" t="e">
        <f t="shared" si="23"/>
        <v>#VALUE!</v>
      </c>
      <c r="Z252" s="402" t="e">
        <f t="shared" si="24"/>
        <v>#VALUE!</v>
      </c>
      <c r="AA252" s="402" t="e">
        <f t="shared" si="25"/>
        <v>#VALUE!</v>
      </c>
      <c r="AB252" s="669" t="e">
        <f t="shared" si="26"/>
        <v>#VALUE!</v>
      </c>
      <c r="AC252" s="403"/>
    </row>
    <row r="253" spans="2:29" s="121" customFormat="1" outlineLevel="1">
      <c r="B253" s="1167"/>
      <c r="C253" s="1168"/>
      <c r="D253" s="1750" t="s">
        <v>290</v>
      </c>
      <c r="E253" s="1751"/>
      <c r="F253" s="1751"/>
      <c r="G253" s="1752"/>
      <c r="H253" s="835"/>
      <c r="I253" s="1327" t="e">
        <f t="shared" si="0"/>
        <v>#DIV/0!</v>
      </c>
      <c r="J253" s="736" t="s">
        <v>365</v>
      </c>
      <c r="K253" s="736" t="s">
        <v>365</v>
      </c>
      <c r="L253" s="1330" t="str">
        <f t="shared" si="16"/>
        <v>Non renseigné</v>
      </c>
      <c r="M253" s="736" t="str">
        <f t="shared" si="12"/>
        <v>-</v>
      </c>
      <c r="N253" s="822" t="e">
        <f t="shared" si="13"/>
        <v>#VALUE!</v>
      </c>
      <c r="O253" s="733" t="e">
        <f t="shared" si="27"/>
        <v>#VALUE!</v>
      </c>
      <c r="P253" s="822" t="e">
        <f t="shared" si="28"/>
        <v>#VALUE!</v>
      </c>
      <c r="Q253" s="823"/>
      <c r="R253" s="942"/>
      <c r="S253" s="402" t="e">
        <f t="shared" si="17"/>
        <v>#VALUE!</v>
      </c>
      <c r="T253" s="402" t="e">
        <f t="shared" si="18"/>
        <v>#VALUE!</v>
      </c>
      <c r="U253" s="402" t="e">
        <f t="shared" si="19"/>
        <v>#VALUE!</v>
      </c>
      <c r="V253" s="402" t="e">
        <f t="shared" si="20"/>
        <v>#VALUE!</v>
      </c>
      <c r="W253" s="402" t="e">
        <f t="shared" si="21"/>
        <v>#VALUE!</v>
      </c>
      <c r="X253" s="402" t="e">
        <f t="shared" si="22"/>
        <v>#VALUE!</v>
      </c>
      <c r="Y253" s="402" t="e">
        <f t="shared" si="23"/>
        <v>#VALUE!</v>
      </c>
      <c r="Z253" s="402" t="e">
        <f t="shared" si="24"/>
        <v>#VALUE!</v>
      </c>
      <c r="AA253" s="402" t="e">
        <f t="shared" si="25"/>
        <v>#VALUE!</v>
      </c>
      <c r="AB253" s="669" t="e">
        <f t="shared" si="26"/>
        <v>#VALUE!</v>
      </c>
      <c r="AC253" s="403"/>
    </row>
    <row r="254" spans="2:29" s="121" customFormat="1" outlineLevel="1">
      <c r="B254" s="1167"/>
      <c r="C254" s="1168"/>
      <c r="D254" s="1750" t="s">
        <v>290</v>
      </c>
      <c r="E254" s="1751"/>
      <c r="F254" s="1751"/>
      <c r="G254" s="1752"/>
      <c r="H254" s="835"/>
      <c r="I254" s="1327" t="e">
        <f t="shared" si="0"/>
        <v>#DIV/0!</v>
      </c>
      <c r="J254" s="736" t="s">
        <v>365</v>
      </c>
      <c r="K254" s="736" t="s">
        <v>365</v>
      </c>
      <c r="L254" s="1330" t="str">
        <f t="shared" si="16"/>
        <v>Non renseigné</v>
      </c>
      <c r="M254" s="736" t="str">
        <f t="shared" si="12"/>
        <v>-</v>
      </c>
      <c r="N254" s="822" t="e">
        <f t="shared" si="13"/>
        <v>#VALUE!</v>
      </c>
      <c r="O254" s="733" t="e">
        <f t="shared" si="27"/>
        <v>#VALUE!</v>
      </c>
      <c r="P254" s="822" t="e">
        <f t="shared" si="28"/>
        <v>#VALUE!</v>
      </c>
      <c r="Q254" s="823"/>
      <c r="R254" s="942"/>
      <c r="S254" s="402" t="e">
        <f t="shared" si="17"/>
        <v>#VALUE!</v>
      </c>
      <c r="T254" s="402" t="e">
        <f t="shared" si="18"/>
        <v>#VALUE!</v>
      </c>
      <c r="U254" s="402" t="e">
        <f t="shared" si="19"/>
        <v>#VALUE!</v>
      </c>
      <c r="V254" s="402" t="e">
        <f t="shared" si="20"/>
        <v>#VALUE!</v>
      </c>
      <c r="W254" s="402" t="e">
        <f t="shared" si="21"/>
        <v>#VALUE!</v>
      </c>
      <c r="X254" s="402" t="e">
        <f t="shared" si="22"/>
        <v>#VALUE!</v>
      </c>
      <c r="Y254" s="402" t="e">
        <f t="shared" si="23"/>
        <v>#VALUE!</v>
      </c>
      <c r="Z254" s="402" t="e">
        <f t="shared" si="24"/>
        <v>#VALUE!</v>
      </c>
      <c r="AA254" s="402" t="e">
        <f t="shared" si="25"/>
        <v>#VALUE!</v>
      </c>
      <c r="AB254" s="669" t="e">
        <f t="shared" si="26"/>
        <v>#VALUE!</v>
      </c>
      <c r="AC254" s="403"/>
    </row>
    <row r="255" spans="2:29" s="121" customFormat="1" outlineLevel="1">
      <c r="B255" s="1167"/>
      <c r="C255" s="1168"/>
      <c r="D255" s="1750" t="s">
        <v>290</v>
      </c>
      <c r="E255" s="1751"/>
      <c r="F255" s="1751"/>
      <c r="G255" s="1752"/>
      <c r="H255" s="835"/>
      <c r="I255" s="1327" t="e">
        <f t="shared" si="0"/>
        <v>#DIV/0!</v>
      </c>
      <c r="J255" s="736" t="s">
        <v>365</v>
      </c>
      <c r="K255" s="736" t="s">
        <v>365</v>
      </c>
      <c r="L255" s="1330" t="str">
        <f t="shared" si="16"/>
        <v>Non renseigné</v>
      </c>
      <c r="M255" s="736" t="str">
        <f t="shared" si="12"/>
        <v>-</v>
      </c>
      <c r="N255" s="822" t="e">
        <f t="shared" si="13"/>
        <v>#VALUE!</v>
      </c>
      <c r="O255" s="733" t="e">
        <f t="shared" si="27"/>
        <v>#VALUE!</v>
      </c>
      <c r="P255" s="822" t="e">
        <f t="shared" si="28"/>
        <v>#VALUE!</v>
      </c>
      <c r="Q255" s="823"/>
      <c r="R255" s="942"/>
      <c r="S255" s="402" t="e">
        <f t="shared" si="17"/>
        <v>#VALUE!</v>
      </c>
      <c r="T255" s="402" t="e">
        <f t="shared" si="18"/>
        <v>#VALUE!</v>
      </c>
      <c r="U255" s="402" t="e">
        <f t="shared" si="19"/>
        <v>#VALUE!</v>
      </c>
      <c r="V255" s="402" t="e">
        <f t="shared" si="20"/>
        <v>#VALUE!</v>
      </c>
      <c r="W255" s="402" t="e">
        <f t="shared" si="21"/>
        <v>#VALUE!</v>
      </c>
      <c r="X255" s="402" t="e">
        <f t="shared" si="22"/>
        <v>#VALUE!</v>
      </c>
      <c r="Y255" s="402" t="e">
        <f t="shared" si="23"/>
        <v>#VALUE!</v>
      </c>
      <c r="Z255" s="402" t="e">
        <f t="shared" si="24"/>
        <v>#VALUE!</v>
      </c>
      <c r="AA255" s="402" t="e">
        <f t="shared" si="25"/>
        <v>#VALUE!</v>
      </c>
      <c r="AB255" s="669" t="e">
        <f t="shared" si="26"/>
        <v>#VALUE!</v>
      </c>
      <c r="AC255" s="403"/>
    </row>
    <row r="256" spans="2:29" s="121" customFormat="1" outlineLevel="1">
      <c r="B256" s="1167"/>
      <c r="C256" s="1168"/>
      <c r="D256" s="1750" t="s">
        <v>290</v>
      </c>
      <c r="E256" s="1751"/>
      <c r="F256" s="1751"/>
      <c r="G256" s="1752"/>
      <c r="H256" s="835"/>
      <c r="I256" s="1327" t="e">
        <f t="shared" si="0"/>
        <v>#DIV/0!</v>
      </c>
      <c r="J256" s="736" t="s">
        <v>365</v>
      </c>
      <c r="K256" s="736" t="s">
        <v>365</v>
      </c>
      <c r="L256" s="1330" t="str">
        <f t="shared" si="16"/>
        <v>Non renseigné</v>
      </c>
      <c r="M256" s="736" t="str">
        <f t="shared" si="12"/>
        <v>-</v>
      </c>
      <c r="N256" s="822" t="e">
        <f t="shared" si="13"/>
        <v>#VALUE!</v>
      </c>
      <c r="O256" s="733" t="e">
        <f t="shared" si="27"/>
        <v>#VALUE!</v>
      </c>
      <c r="P256" s="822" t="e">
        <f t="shared" si="28"/>
        <v>#VALUE!</v>
      </c>
      <c r="Q256" s="823"/>
      <c r="R256" s="942"/>
      <c r="S256" s="402" t="e">
        <f t="shared" si="17"/>
        <v>#VALUE!</v>
      </c>
      <c r="T256" s="402" t="e">
        <f t="shared" si="18"/>
        <v>#VALUE!</v>
      </c>
      <c r="U256" s="402" t="e">
        <f t="shared" si="19"/>
        <v>#VALUE!</v>
      </c>
      <c r="V256" s="402" t="e">
        <f t="shared" si="20"/>
        <v>#VALUE!</v>
      </c>
      <c r="W256" s="402" t="e">
        <f t="shared" si="21"/>
        <v>#VALUE!</v>
      </c>
      <c r="X256" s="402" t="e">
        <f t="shared" si="22"/>
        <v>#VALUE!</v>
      </c>
      <c r="Y256" s="402" t="e">
        <f t="shared" si="23"/>
        <v>#VALUE!</v>
      </c>
      <c r="Z256" s="402" t="e">
        <f t="shared" si="24"/>
        <v>#VALUE!</v>
      </c>
      <c r="AA256" s="402" t="e">
        <f t="shared" si="25"/>
        <v>#VALUE!</v>
      </c>
      <c r="AB256" s="669" t="e">
        <f t="shared" si="26"/>
        <v>#VALUE!</v>
      </c>
      <c r="AC256" s="403"/>
    </row>
    <row r="257" spans="2:29" s="121" customFormat="1" outlineLevel="1">
      <c r="B257" s="1167"/>
      <c r="C257" s="1168"/>
      <c r="D257" s="1750" t="s">
        <v>290</v>
      </c>
      <c r="E257" s="1751"/>
      <c r="F257" s="1751"/>
      <c r="G257" s="1752"/>
      <c r="H257" s="835"/>
      <c r="I257" s="1327" t="e">
        <f t="shared" si="0"/>
        <v>#DIV/0!</v>
      </c>
      <c r="J257" s="736" t="s">
        <v>365</v>
      </c>
      <c r="K257" s="736" t="s">
        <v>365</v>
      </c>
      <c r="L257" s="1330" t="str">
        <f t="shared" si="16"/>
        <v>Non renseigné</v>
      </c>
      <c r="M257" s="736" t="str">
        <f t="shared" si="12"/>
        <v>-</v>
      </c>
      <c r="N257" s="822" t="e">
        <f t="shared" si="13"/>
        <v>#VALUE!</v>
      </c>
      <c r="O257" s="733" t="e">
        <f t="shared" si="27"/>
        <v>#VALUE!</v>
      </c>
      <c r="P257" s="822" t="e">
        <f t="shared" si="28"/>
        <v>#VALUE!</v>
      </c>
      <c r="Q257" s="823"/>
      <c r="R257" s="942"/>
      <c r="S257" s="402" t="e">
        <f t="shared" si="17"/>
        <v>#VALUE!</v>
      </c>
      <c r="T257" s="402" t="e">
        <f t="shared" si="18"/>
        <v>#VALUE!</v>
      </c>
      <c r="U257" s="402" t="e">
        <f t="shared" si="19"/>
        <v>#VALUE!</v>
      </c>
      <c r="V257" s="402" t="e">
        <f t="shared" si="20"/>
        <v>#VALUE!</v>
      </c>
      <c r="W257" s="402" t="e">
        <f t="shared" si="21"/>
        <v>#VALUE!</v>
      </c>
      <c r="X257" s="402" t="e">
        <f t="shared" si="22"/>
        <v>#VALUE!</v>
      </c>
      <c r="Y257" s="402" t="e">
        <f t="shared" si="23"/>
        <v>#VALUE!</v>
      </c>
      <c r="Z257" s="402" t="e">
        <f t="shared" si="24"/>
        <v>#VALUE!</v>
      </c>
      <c r="AA257" s="402" t="e">
        <f t="shared" si="25"/>
        <v>#VALUE!</v>
      </c>
      <c r="AB257" s="669" t="e">
        <f t="shared" si="26"/>
        <v>#VALUE!</v>
      </c>
      <c r="AC257" s="403"/>
    </row>
    <row r="258" spans="2:29" s="121" customFormat="1" outlineLevel="1">
      <c r="B258" s="1167"/>
      <c r="C258" s="1168"/>
      <c r="D258" s="1750" t="s">
        <v>290</v>
      </c>
      <c r="E258" s="1751"/>
      <c r="F258" s="1751"/>
      <c r="G258" s="1752"/>
      <c r="H258" s="835"/>
      <c r="I258" s="1327" t="e">
        <f t="shared" si="0"/>
        <v>#DIV/0!</v>
      </c>
      <c r="J258" s="736" t="s">
        <v>365</v>
      </c>
      <c r="K258" s="736" t="s">
        <v>365</v>
      </c>
      <c r="L258" s="1330" t="str">
        <f t="shared" si="16"/>
        <v>Non renseigné</v>
      </c>
      <c r="M258" s="736" t="str">
        <f t="shared" si="12"/>
        <v>-</v>
      </c>
      <c r="N258" s="822" t="e">
        <f t="shared" si="13"/>
        <v>#VALUE!</v>
      </c>
      <c r="O258" s="733" t="e">
        <f t="shared" si="27"/>
        <v>#VALUE!</v>
      </c>
      <c r="P258" s="822" t="e">
        <f t="shared" si="28"/>
        <v>#VALUE!</v>
      </c>
      <c r="Q258" s="823"/>
      <c r="R258" s="942"/>
      <c r="S258" s="402" t="e">
        <f t="shared" si="17"/>
        <v>#VALUE!</v>
      </c>
      <c r="T258" s="402" t="e">
        <f t="shared" si="18"/>
        <v>#VALUE!</v>
      </c>
      <c r="U258" s="402" t="e">
        <f t="shared" si="19"/>
        <v>#VALUE!</v>
      </c>
      <c r="V258" s="402" t="e">
        <f t="shared" si="20"/>
        <v>#VALUE!</v>
      </c>
      <c r="W258" s="402" t="e">
        <f t="shared" si="21"/>
        <v>#VALUE!</v>
      </c>
      <c r="X258" s="402" t="e">
        <f t="shared" si="22"/>
        <v>#VALUE!</v>
      </c>
      <c r="Y258" s="402" t="e">
        <f t="shared" si="23"/>
        <v>#VALUE!</v>
      </c>
      <c r="Z258" s="402" t="e">
        <f t="shared" si="24"/>
        <v>#VALUE!</v>
      </c>
      <c r="AA258" s="402" t="e">
        <f t="shared" si="25"/>
        <v>#VALUE!</v>
      </c>
      <c r="AB258" s="669" t="e">
        <f t="shared" si="26"/>
        <v>#VALUE!</v>
      </c>
      <c r="AC258" s="403"/>
    </row>
    <row r="259" spans="2:29" s="121" customFormat="1" outlineLevel="1">
      <c r="B259" s="1167"/>
      <c r="C259" s="1168"/>
      <c r="D259" s="1750" t="s">
        <v>290</v>
      </c>
      <c r="E259" s="1751"/>
      <c r="F259" s="1751"/>
      <c r="G259" s="1752"/>
      <c r="H259" s="835"/>
      <c r="I259" s="1327" t="e">
        <f t="shared" si="0"/>
        <v>#DIV/0!</v>
      </c>
      <c r="J259" s="736" t="s">
        <v>365</v>
      </c>
      <c r="K259" s="736" t="s">
        <v>365</v>
      </c>
      <c r="L259" s="1330" t="str">
        <f t="shared" si="16"/>
        <v>Non renseigné</v>
      </c>
      <c r="M259" s="736" t="str">
        <f t="shared" si="12"/>
        <v>-</v>
      </c>
      <c r="N259" s="822" t="e">
        <f t="shared" si="13"/>
        <v>#VALUE!</v>
      </c>
      <c r="O259" s="733" t="e">
        <f t="shared" si="27"/>
        <v>#VALUE!</v>
      </c>
      <c r="P259" s="822" t="e">
        <f t="shared" si="28"/>
        <v>#VALUE!</v>
      </c>
      <c r="Q259" s="823"/>
      <c r="R259" s="942"/>
      <c r="S259" s="402" t="e">
        <f t="shared" si="17"/>
        <v>#VALUE!</v>
      </c>
      <c r="T259" s="402" t="e">
        <f t="shared" si="18"/>
        <v>#VALUE!</v>
      </c>
      <c r="U259" s="402" t="e">
        <f t="shared" si="19"/>
        <v>#VALUE!</v>
      </c>
      <c r="V259" s="402" t="e">
        <f t="shared" si="20"/>
        <v>#VALUE!</v>
      </c>
      <c r="W259" s="402" t="e">
        <f t="shared" si="21"/>
        <v>#VALUE!</v>
      </c>
      <c r="X259" s="402" t="e">
        <f t="shared" si="22"/>
        <v>#VALUE!</v>
      </c>
      <c r="Y259" s="402" t="e">
        <f t="shared" si="23"/>
        <v>#VALUE!</v>
      </c>
      <c r="Z259" s="402" t="e">
        <f t="shared" si="24"/>
        <v>#VALUE!</v>
      </c>
      <c r="AA259" s="402" t="e">
        <f t="shared" si="25"/>
        <v>#VALUE!</v>
      </c>
      <c r="AB259" s="669" t="e">
        <f t="shared" si="26"/>
        <v>#VALUE!</v>
      </c>
      <c r="AC259" s="403"/>
    </row>
    <row r="260" spans="2:29" s="121" customFormat="1" outlineLevel="1">
      <c r="B260" s="1167"/>
      <c r="C260" s="1168"/>
      <c r="D260" s="1750" t="s">
        <v>290</v>
      </c>
      <c r="E260" s="1751"/>
      <c r="F260" s="1751"/>
      <c r="G260" s="1752"/>
      <c r="H260" s="835"/>
      <c r="I260" s="1327" t="e">
        <f t="shared" si="0"/>
        <v>#DIV/0!</v>
      </c>
      <c r="J260" s="736" t="s">
        <v>365</v>
      </c>
      <c r="K260" s="736" t="s">
        <v>365</v>
      </c>
      <c r="L260" s="1330" t="str">
        <f t="shared" si="16"/>
        <v>Non renseigné</v>
      </c>
      <c r="M260" s="736" t="str">
        <f t="shared" si="12"/>
        <v>-</v>
      </c>
      <c r="N260" s="822" t="e">
        <f t="shared" si="13"/>
        <v>#VALUE!</v>
      </c>
      <c r="O260" s="733" t="e">
        <f t="shared" si="27"/>
        <v>#VALUE!</v>
      </c>
      <c r="P260" s="822" t="e">
        <f t="shared" si="28"/>
        <v>#VALUE!</v>
      </c>
      <c r="Q260" s="823"/>
      <c r="R260" s="942"/>
      <c r="S260" s="402" t="e">
        <f t="shared" si="17"/>
        <v>#VALUE!</v>
      </c>
      <c r="T260" s="402" t="e">
        <f t="shared" si="18"/>
        <v>#VALUE!</v>
      </c>
      <c r="U260" s="402" t="e">
        <f t="shared" si="19"/>
        <v>#VALUE!</v>
      </c>
      <c r="V260" s="402" t="e">
        <f t="shared" si="20"/>
        <v>#VALUE!</v>
      </c>
      <c r="W260" s="402" t="e">
        <f t="shared" si="21"/>
        <v>#VALUE!</v>
      </c>
      <c r="X260" s="402" t="e">
        <f t="shared" si="22"/>
        <v>#VALUE!</v>
      </c>
      <c r="Y260" s="402" t="e">
        <f t="shared" si="23"/>
        <v>#VALUE!</v>
      </c>
      <c r="Z260" s="402" t="e">
        <f t="shared" si="24"/>
        <v>#VALUE!</v>
      </c>
      <c r="AA260" s="402" t="e">
        <f t="shared" si="25"/>
        <v>#VALUE!</v>
      </c>
      <c r="AB260" s="669" t="e">
        <f t="shared" si="26"/>
        <v>#VALUE!</v>
      </c>
      <c r="AC260" s="403"/>
    </row>
    <row r="261" spans="2:29" s="121" customFormat="1" outlineLevel="1">
      <c r="B261" s="1167"/>
      <c r="C261" s="1168"/>
      <c r="D261" s="1750" t="s">
        <v>290</v>
      </c>
      <c r="E261" s="1751"/>
      <c r="F261" s="1751"/>
      <c r="G261" s="1752"/>
      <c r="H261" s="835"/>
      <c r="I261" s="1327" t="e">
        <f t="shared" si="0"/>
        <v>#DIV/0!</v>
      </c>
      <c r="J261" s="736" t="s">
        <v>365</v>
      </c>
      <c r="K261" s="736" t="s">
        <v>365</v>
      </c>
      <c r="L261" s="1330" t="str">
        <f t="shared" si="16"/>
        <v>Non renseigné</v>
      </c>
      <c r="M261" s="736" t="str">
        <f t="shared" si="12"/>
        <v>-</v>
      </c>
      <c r="N261" s="822" t="e">
        <f t="shared" si="13"/>
        <v>#VALUE!</v>
      </c>
      <c r="O261" s="733" t="e">
        <f t="shared" si="27"/>
        <v>#VALUE!</v>
      </c>
      <c r="P261" s="822" t="e">
        <f t="shared" si="28"/>
        <v>#VALUE!</v>
      </c>
      <c r="Q261" s="823"/>
      <c r="R261" s="942"/>
      <c r="S261" s="402" t="e">
        <f t="shared" si="17"/>
        <v>#VALUE!</v>
      </c>
      <c r="T261" s="402" t="e">
        <f t="shared" si="18"/>
        <v>#VALUE!</v>
      </c>
      <c r="U261" s="402" t="e">
        <f t="shared" si="19"/>
        <v>#VALUE!</v>
      </c>
      <c r="V261" s="402" t="e">
        <f t="shared" si="20"/>
        <v>#VALUE!</v>
      </c>
      <c r="W261" s="402" t="e">
        <f t="shared" si="21"/>
        <v>#VALUE!</v>
      </c>
      <c r="X261" s="402" t="e">
        <f t="shared" si="22"/>
        <v>#VALUE!</v>
      </c>
      <c r="Y261" s="402" t="e">
        <f t="shared" si="23"/>
        <v>#VALUE!</v>
      </c>
      <c r="Z261" s="402" t="e">
        <f t="shared" si="24"/>
        <v>#VALUE!</v>
      </c>
      <c r="AA261" s="402" t="e">
        <f t="shared" si="25"/>
        <v>#VALUE!</v>
      </c>
      <c r="AB261" s="669" t="e">
        <f t="shared" si="26"/>
        <v>#VALUE!</v>
      </c>
      <c r="AC261" s="403"/>
    </row>
    <row r="262" spans="2:29" s="121" customFormat="1" outlineLevel="1">
      <c r="B262" s="1167"/>
      <c r="C262" s="1168"/>
      <c r="D262" s="1750" t="s">
        <v>290</v>
      </c>
      <c r="E262" s="1751"/>
      <c r="F262" s="1751"/>
      <c r="G262" s="1752"/>
      <c r="H262" s="835"/>
      <c r="I262" s="1327" t="e">
        <f t="shared" si="0"/>
        <v>#DIV/0!</v>
      </c>
      <c r="J262" s="736" t="s">
        <v>365</v>
      </c>
      <c r="K262" s="736" t="s">
        <v>365</v>
      </c>
      <c r="L262" s="1330" t="str">
        <f t="shared" si="16"/>
        <v>Non renseigné</v>
      </c>
      <c r="M262" s="736" t="str">
        <f t="shared" si="12"/>
        <v>-</v>
      </c>
      <c r="N262" s="822" t="e">
        <f t="shared" si="13"/>
        <v>#VALUE!</v>
      </c>
      <c r="O262" s="733" t="e">
        <f t="shared" si="27"/>
        <v>#VALUE!</v>
      </c>
      <c r="P262" s="822" t="e">
        <f t="shared" si="28"/>
        <v>#VALUE!</v>
      </c>
      <c r="Q262" s="823"/>
      <c r="R262" s="942"/>
      <c r="S262" s="402" t="e">
        <f t="shared" si="17"/>
        <v>#VALUE!</v>
      </c>
      <c r="T262" s="402" t="e">
        <f t="shared" si="18"/>
        <v>#VALUE!</v>
      </c>
      <c r="U262" s="402" t="e">
        <f t="shared" si="19"/>
        <v>#VALUE!</v>
      </c>
      <c r="V262" s="402" t="e">
        <f t="shared" si="20"/>
        <v>#VALUE!</v>
      </c>
      <c r="W262" s="402" t="e">
        <f t="shared" si="21"/>
        <v>#VALUE!</v>
      </c>
      <c r="X262" s="402" t="e">
        <f t="shared" si="22"/>
        <v>#VALUE!</v>
      </c>
      <c r="Y262" s="402" t="e">
        <f t="shared" si="23"/>
        <v>#VALUE!</v>
      </c>
      <c r="Z262" s="402" t="e">
        <f t="shared" si="24"/>
        <v>#VALUE!</v>
      </c>
      <c r="AA262" s="402" t="e">
        <f t="shared" si="25"/>
        <v>#VALUE!</v>
      </c>
      <c r="AB262" s="669" t="e">
        <f t="shared" si="26"/>
        <v>#VALUE!</v>
      </c>
      <c r="AC262" s="403"/>
    </row>
    <row r="263" spans="2:29" outlineLevel="1">
      <c r="B263" s="1167"/>
      <c r="C263" s="1168"/>
      <c r="D263" s="1750" t="s">
        <v>290</v>
      </c>
      <c r="E263" s="1751"/>
      <c r="F263" s="1751"/>
      <c r="G263" s="1752"/>
      <c r="H263" s="835"/>
      <c r="I263" s="1327" t="e">
        <f t="shared" si="0"/>
        <v>#DIV/0!</v>
      </c>
      <c r="J263" s="736" t="s">
        <v>365</v>
      </c>
      <c r="K263" s="736" t="s">
        <v>365</v>
      </c>
      <c r="L263" s="1330" t="str">
        <f t="shared" si="16"/>
        <v>Non renseigné</v>
      </c>
      <c r="M263" s="736" t="str">
        <f t="shared" si="12"/>
        <v>-</v>
      </c>
      <c r="N263" s="822" t="e">
        <f t="shared" si="13"/>
        <v>#VALUE!</v>
      </c>
      <c r="O263" s="733" t="e">
        <f t="shared" si="27"/>
        <v>#VALUE!</v>
      </c>
      <c r="P263" s="822" t="e">
        <f t="shared" si="28"/>
        <v>#VALUE!</v>
      </c>
      <c r="Q263" s="823"/>
      <c r="R263" s="942"/>
      <c r="S263" s="402" t="e">
        <f t="shared" si="17"/>
        <v>#VALUE!</v>
      </c>
      <c r="T263" s="402" t="e">
        <f t="shared" si="18"/>
        <v>#VALUE!</v>
      </c>
      <c r="U263" s="402" t="e">
        <f t="shared" si="19"/>
        <v>#VALUE!</v>
      </c>
      <c r="V263" s="402" t="e">
        <f t="shared" si="20"/>
        <v>#VALUE!</v>
      </c>
      <c r="W263" s="402" t="e">
        <f t="shared" si="21"/>
        <v>#VALUE!</v>
      </c>
      <c r="X263" s="402" t="e">
        <f t="shared" si="22"/>
        <v>#VALUE!</v>
      </c>
      <c r="Y263" s="402" t="e">
        <f t="shared" si="23"/>
        <v>#VALUE!</v>
      </c>
      <c r="Z263" s="402" t="e">
        <f t="shared" si="24"/>
        <v>#VALUE!</v>
      </c>
      <c r="AA263" s="402" t="e">
        <f t="shared" si="25"/>
        <v>#VALUE!</v>
      </c>
      <c r="AB263" s="669" t="e">
        <f t="shared" si="26"/>
        <v>#VALUE!</v>
      </c>
    </row>
    <row r="264" spans="2:29" s="121" customFormat="1" outlineLevel="1">
      <c r="B264" s="1167"/>
      <c r="C264" s="1168"/>
      <c r="D264" s="1750" t="s">
        <v>290</v>
      </c>
      <c r="E264" s="1751"/>
      <c r="F264" s="1751"/>
      <c r="G264" s="1752"/>
      <c r="H264" s="835"/>
      <c r="I264" s="1327" t="e">
        <f t="shared" si="0"/>
        <v>#DIV/0!</v>
      </c>
      <c r="J264" s="736" t="s">
        <v>365</v>
      </c>
      <c r="K264" s="736" t="s">
        <v>365</v>
      </c>
      <c r="L264" s="1330" t="str">
        <f t="shared" si="16"/>
        <v>Non renseigné</v>
      </c>
      <c r="M264" s="736" t="str">
        <f t="shared" si="12"/>
        <v>-</v>
      </c>
      <c r="N264" s="822" t="e">
        <f t="shared" si="13"/>
        <v>#VALUE!</v>
      </c>
      <c r="O264" s="733" t="e">
        <f t="shared" si="27"/>
        <v>#VALUE!</v>
      </c>
      <c r="P264" s="822" t="e">
        <f t="shared" si="28"/>
        <v>#VALUE!</v>
      </c>
      <c r="Q264" s="823"/>
      <c r="R264" s="942"/>
      <c r="S264" s="402" t="e">
        <f t="shared" si="17"/>
        <v>#VALUE!</v>
      </c>
      <c r="T264" s="402" t="e">
        <f t="shared" si="18"/>
        <v>#VALUE!</v>
      </c>
      <c r="U264" s="402" t="e">
        <f t="shared" si="19"/>
        <v>#VALUE!</v>
      </c>
      <c r="V264" s="402" t="e">
        <f t="shared" si="20"/>
        <v>#VALUE!</v>
      </c>
      <c r="W264" s="402" t="e">
        <f t="shared" si="21"/>
        <v>#VALUE!</v>
      </c>
      <c r="X264" s="402" t="e">
        <f t="shared" si="22"/>
        <v>#VALUE!</v>
      </c>
      <c r="Y264" s="402" t="e">
        <f t="shared" si="23"/>
        <v>#VALUE!</v>
      </c>
      <c r="Z264" s="402" t="e">
        <f t="shared" si="24"/>
        <v>#VALUE!</v>
      </c>
      <c r="AA264" s="402" t="e">
        <f t="shared" si="25"/>
        <v>#VALUE!</v>
      </c>
      <c r="AB264" s="669" t="e">
        <f t="shared" si="26"/>
        <v>#VALUE!</v>
      </c>
      <c r="AC264" s="403"/>
    </row>
    <row r="265" spans="2:29" s="121" customFormat="1" outlineLevel="1">
      <c r="B265" s="1167"/>
      <c r="C265" s="1168"/>
      <c r="D265" s="1750" t="s">
        <v>290</v>
      </c>
      <c r="E265" s="1751"/>
      <c r="F265" s="1751"/>
      <c r="G265" s="1752"/>
      <c r="H265" s="835"/>
      <c r="I265" s="1327" t="e">
        <f t="shared" si="0"/>
        <v>#DIV/0!</v>
      </c>
      <c r="J265" s="736" t="s">
        <v>365</v>
      </c>
      <c r="K265" s="736" t="s">
        <v>365</v>
      </c>
      <c r="L265" s="1330" t="str">
        <f t="shared" si="16"/>
        <v>Non renseigné</v>
      </c>
      <c r="M265" s="736" t="str">
        <f t="shared" si="12"/>
        <v>-</v>
      </c>
      <c r="N265" s="822" t="e">
        <f t="shared" si="13"/>
        <v>#VALUE!</v>
      </c>
      <c r="O265" s="733" t="e">
        <f t="shared" si="27"/>
        <v>#VALUE!</v>
      </c>
      <c r="P265" s="822" t="e">
        <f t="shared" si="28"/>
        <v>#VALUE!</v>
      </c>
      <c r="Q265" s="823"/>
      <c r="R265" s="942"/>
      <c r="S265" s="402" t="e">
        <f t="shared" si="17"/>
        <v>#VALUE!</v>
      </c>
      <c r="T265" s="402" t="e">
        <f t="shared" si="18"/>
        <v>#VALUE!</v>
      </c>
      <c r="U265" s="402" t="e">
        <f t="shared" si="19"/>
        <v>#VALUE!</v>
      </c>
      <c r="V265" s="402" t="e">
        <f t="shared" si="20"/>
        <v>#VALUE!</v>
      </c>
      <c r="W265" s="402" t="e">
        <f t="shared" si="21"/>
        <v>#VALUE!</v>
      </c>
      <c r="X265" s="402" t="e">
        <f t="shared" si="22"/>
        <v>#VALUE!</v>
      </c>
      <c r="Y265" s="402" t="e">
        <f t="shared" si="23"/>
        <v>#VALUE!</v>
      </c>
      <c r="Z265" s="402" t="e">
        <f t="shared" si="24"/>
        <v>#VALUE!</v>
      </c>
      <c r="AA265" s="402" t="e">
        <f t="shared" si="25"/>
        <v>#VALUE!</v>
      </c>
      <c r="AB265" s="669" t="e">
        <f t="shared" si="26"/>
        <v>#VALUE!</v>
      </c>
      <c r="AC265" s="403"/>
    </row>
    <row r="266" spans="2:29" s="121" customFormat="1" outlineLevel="1">
      <c r="B266" s="1167"/>
      <c r="C266" s="1168"/>
      <c r="D266" s="1750" t="s">
        <v>290</v>
      </c>
      <c r="E266" s="1751"/>
      <c r="F266" s="1751"/>
      <c r="G266" s="1752"/>
      <c r="H266" s="835"/>
      <c r="I266" s="1327" t="e">
        <f t="shared" si="0"/>
        <v>#DIV/0!</v>
      </c>
      <c r="J266" s="736" t="s">
        <v>365</v>
      </c>
      <c r="K266" s="736" t="s">
        <v>365</v>
      </c>
      <c r="L266" s="1330" t="str">
        <f t="shared" si="16"/>
        <v>Non renseigné</v>
      </c>
      <c r="M266" s="736" t="str">
        <f t="shared" si="12"/>
        <v>-</v>
      </c>
      <c r="N266" s="822" t="e">
        <f t="shared" si="13"/>
        <v>#VALUE!</v>
      </c>
      <c r="O266" s="733" t="e">
        <f t="shared" si="27"/>
        <v>#VALUE!</v>
      </c>
      <c r="P266" s="822" t="e">
        <f t="shared" si="28"/>
        <v>#VALUE!</v>
      </c>
      <c r="Q266" s="823"/>
      <c r="R266" s="942"/>
      <c r="S266" s="402" t="e">
        <f t="shared" si="17"/>
        <v>#VALUE!</v>
      </c>
      <c r="T266" s="402" t="e">
        <f t="shared" si="18"/>
        <v>#VALUE!</v>
      </c>
      <c r="U266" s="402" t="e">
        <f t="shared" si="19"/>
        <v>#VALUE!</v>
      </c>
      <c r="V266" s="402" t="e">
        <f t="shared" si="20"/>
        <v>#VALUE!</v>
      </c>
      <c r="W266" s="402" t="e">
        <f t="shared" si="21"/>
        <v>#VALUE!</v>
      </c>
      <c r="X266" s="402" t="e">
        <f t="shared" si="22"/>
        <v>#VALUE!</v>
      </c>
      <c r="Y266" s="402" t="e">
        <f t="shared" si="23"/>
        <v>#VALUE!</v>
      </c>
      <c r="Z266" s="402" t="e">
        <f t="shared" si="24"/>
        <v>#VALUE!</v>
      </c>
      <c r="AA266" s="402" t="e">
        <f t="shared" si="25"/>
        <v>#VALUE!</v>
      </c>
      <c r="AB266" s="669" t="e">
        <f t="shared" si="26"/>
        <v>#VALUE!</v>
      </c>
      <c r="AC266" s="403"/>
    </row>
    <row r="267" spans="2:29" s="121" customFormat="1" outlineLevel="1">
      <c r="B267" s="1167"/>
      <c r="C267" s="1168"/>
      <c r="D267" s="1750" t="s">
        <v>290</v>
      </c>
      <c r="E267" s="1751"/>
      <c r="F267" s="1751"/>
      <c r="G267" s="1752"/>
      <c r="H267" s="835"/>
      <c r="I267" s="1327" t="e">
        <f t="shared" si="0"/>
        <v>#DIV/0!</v>
      </c>
      <c r="J267" s="736" t="s">
        <v>365</v>
      </c>
      <c r="K267" s="736" t="s">
        <v>365</v>
      </c>
      <c r="L267" s="1330" t="str">
        <f t="shared" si="16"/>
        <v>Non renseigné</v>
      </c>
      <c r="M267" s="736" t="str">
        <f t="shared" si="12"/>
        <v>-</v>
      </c>
      <c r="N267" s="822" t="e">
        <f t="shared" si="13"/>
        <v>#VALUE!</v>
      </c>
      <c r="O267" s="733" t="e">
        <f t="shared" si="27"/>
        <v>#VALUE!</v>
      </c>
      <c r="P267" s="822" t="e">
        <f t="shared" si="28"/>
        <v>#VALUE!</v>
      </c>
      <c r="Q267" s="823"/>
      <c r="R267" s="942"/>
      <c r="S267" s="402" t="e">
        <f t="shared" si="17"/>
        <v>#VALUE!</v>
      </c>
      <c r="T267" s="402" t="e">
        <f t="shared" si="18"/>
        <v>#VALUE!</v>
      </c>
      <c r="U267" s="402" t="e">
        <f t="shared" si="19"/>
        <v>#VALUE!</v>
      </c>
      <c r="V267" s="402" t="e">
        <f t="shared" si="20"/>
        <v>#VALUE!</v>
      </c>
      <c r="W267" s="402" t="e">
        <f t="shared" si="21"/>
        <v>#VALUE!</v>
      </c>
      <c r="X267" s="402" t="e">
        <f t="shared" si="22"/>
        <v>#VALUE!</v>
      </c>
      <c r="Y267" s="402" t="e">
        <f t="shared" si="23"/>
        <v>#VALUE!</v>
      </c>
      <c r="Z267" s="402" t="e">
        <f t="shared" si="24"/>
        <v>#VALUE!</v>
      </c>
      <c r="AA267" s="402" t="e">
        <f t="shared" si="25"/>
        <v>#VALUE!</v>
      </c>
      <c r="AB267" s="669" t="e">
        <f t="shared" si="26"/>
        <v>#VALUE!</v>
      </c>
      <c r="AC267" s="403"/>
    </row>
    <row r="268" spans="2:29" s="121" customFormat="1" outlineLevel="1">
      <c r="B268" s="1167"/>
      <c r="C268" s="1168"/>
      <c r="D268" s="1750" t="s">
        <v>290</v>
      </c>
      <c r="E268" s="1751"/>
      <c r="F268" s="1751"/>
      <c r="G268" s="1752"/>
      <c r="H268" s="835"/>
      <c r="I268" s="1327" t="e">
        <f t="shared" si="0"/>
        <v>#DIV/0!</v>
      </c>
      <c r="J268" s="736" t="s">
        <v>365</v>
      </c>
      <c r="K268" s="736" t="s">
        <v>365</v>
      </c>
      <c r="L268" s="1330" t="str">
        <f t="shared" si="16"/>
        <v>Non renseigné</v>
      </c>
      <c r="M268" s="736" t="str">
        <f t="shared" si="12"/>
        <v>-</v>
      </c>
      <c r="N268" s="822" t="e">
        <f t="shared" si="13"/>
        <v>#VALUE!</v>
      </c>
      <c r="O268" s="733" t="e">
        <f t="shared" si="27"/>
        <v>#VALUE!</v>
      </c>
      <c r="P268" s="822" t="e">
        <f t="shared" si="28"/>
        <v>#VALUE!</v>
      </c>
      <c r="Q268" s="823"/>
      <c r="R268" s="942"/>
      <c r="S268" s="402" t="e">
        <f t="shared" si="17"/>
        <v>#VALUE!</v>
      </c>
      <c r="T268" s="402" t="e">
        <f t="shared" si="18"/>
        <v>#VALUE!</v>
      </c>
      <c r="U268" s="402" t="e">
        <f t="shared" si="19"/>
        <v>#VALUE!</v>
      </c>
      <c r="V268" s="402" t="e">
        <f t="shared" si="20"/>
        <v>#VALUE!</v>
      </c>
      <c r="W268" s="402" t="e">
        <f t="shared" si="21"/>
        <v>#VALUE!</v>
      </c>
      <c r="X268" s="402" t="e">
        <f t="shared" si="22"/>
        <v>#VALUE!</v>
      </c>
      <c r="Y268" s="402" t="e">
        <f t="shared" si="23"/>
        <v>#VALUE!</v>
      </c>
      <c r="Z268" s="402" t="e">
        <f t="shared" si="24"/>
        <v>#VALUE!</v>
      </c>
      <c r="AA268" s="402" t="e">
        <f t="shared" si="25"/>
        <v>#VALUE!</v>
      </c>
      <c r="AB268" s="669" t="e">
        <f t="shared" si="26"/>
        <v>#VALUE!</v>
      </c>
      <c r="AC268" s="403"/>
    </row>
    <row r="269" spans="2:29" s="121" customFormat="1" outlineLevel="1">
      <c r="B269" s="1167"/>
      <c r="C269" s="1168"/>
      <c r="D269" s="1750" t="s">
        <v>290</v>
      </c>
      <c r="E269" s="1751"/>
      <c r="F269" s="1751"/>
      <c r="G269" s="1752"/>
      <c r="H269" s="835"/>
      <c r="I269" s="1327" t="e">
        <f t="shared" si="0"/>
        <v>#DIV/0!</v>
      </c>
      <c r="J269" s="736" t="s">
        <v>365</v>
      </c>
      <c r="K269" s="736" t="s">
        <v>365</v>
      </c>
      <c r="L269" s="1330" t="str">
        <f t="shared" si="16"/>
        <v>Non renseigné</v>
      </c>
      <c r="M269" s="736" t="str">
        <f t="shared" si="12"/>
        <v>-</v>
      </c>
      <c r="N269" s="822" t="e">
        <f t="shared" si="13"/>
        <v>#VALUE!</v>
      </c>
      <c r="O269" s="733" t="e">
        <f t="shared" si="27"/>
        <v>#VALUE!</v>
      </c>
      <c r="P269" s="822" t="e">
        <f t="shared" si="28"/>
        <v>#VALUE!</v>
      </c>
      <c r="Q269" s="823"/>
      <c r="R269" s="942"/>
      <c r="S269" s="402" t="e">
        <f t="shared" si="17"/>
        <v>#VALUE!</v>
      </c>
      <c r="T269" s="402" t="e">
        <f t="shared" si="18"/>
        <v>#VALUE!</v>
      </c>
      <c r="U269" s="402" t="e">
        <f t="shared" si="19"/>
        <v>#VALUE!</v>
      </c>
      <c r="V269" s="402" t="e">
        <f t="shared" si="20"/>
        <v>#VALUE!</v>
      </c>
      <c r="W269" s="402" t="e">
        <f t="shared" si="21"/>
        <v>#VALUE!</v>
      </c>
      <c r="X269" s="402" t="e">
        <f t="shared" si="22"/>
        <v>#VALUE!</v>
      </c>
      <c r="Y269" s="402" t="e">
        <f t="shared" si="23"/>
        <v>#VALUE!</v>
      </c>
      <c r="Z269" s="402" t="e">
        <f t="shared" si="24"/>
        <v>#VALUE!</v>
      </c>
      <c r="AA269" s="402" t="e">
        <f t="shared" si="25"/>
        <v>#VALUE!</v>
      </c>
      <c r="AB269" s="669" t="e">
        <f t="shared" si="26"/>
        <v>#VALUE!</v>
      </c>
      <c r="AC269" s="403"/>
    </row>
    <row r="270" spans="2:29" s="121" customFormat="1" outlineLevel="1">
      <c r="B270" s="1167"/>
      <c r="C270" s="1168"/>
      <c r="D270" s="1750" t="s">
        <v>290</v>
      </c>
      <c r="E270" s="1751"/>
      <c r="F270" s="1751"/>
      <c r="G270" s="1752"/>
      <c r="H270" s="835"/>
      <c r="I270" s="1327" t="e">
        <f t="shared" si="0"/>
        <v>#DIV/0!</v>
      </c>
      <c r="J270" s="736" t="s">
        <v>365</v>
      </c>
      <c r="K270" s="736" t="s">
        <v>365</v>
      </c>
      <c r="L270" s="1330" t="str">
        <f t="shared" si="16"/>
        <v>Non renseigné</v>
      </c>
      <c r="M270" s="736" t="str">
        <f t="shared" si="12"/>
        <v>-</v>
      </c>
      <c r="N270" s="822" t="e">
        <f t="shared" si="13"/>
        <v>#VALUE!</v>
      </c>
      <c r="O270" s="733" t="e">
        <f t="shared" si="27"/>
        <v>#VALUE!</v>
      </c>
      <c r="P270" s="822" t="e">
        <f t="shared" si="28"/>
        <v>#VALUE!</v>
      </c>
      <c r="Q270" s="823"/>
      <c r="R270" s="942"/>
      <c r="S270" s="402" t="e">
        <f t="shared" si="17"/>
        <v>#VALUE!</v>
      </c>
      <c r="T270" s="402" t="e">
        <f t="shared" si="18"/>
        <v>#VALUE!</v>
      </c>
      <c r="U270" s="402" t="e">
        <f t="shared" si="19"/>
        <v>#VALUE!</v>
      </c>
      <c r="V270" s="402" t="e">
        <f t="shared" si="20"/>
        <v>#VALUE!</v>
      </c>
      <c r="W270" s="402" t="e">
        <f t="shared" si="21"/>
        <v>#VALUE!</v>
      </c>
      <c r="X270" s="402" t="e">
        <f t="shared" si="22"/>
        <v>#VALUE!</v>
      </c>
      <c r="Y270" s="402" t="e">
        <f t="shared" si="23"/>
        <v>#VALUE!</v>
      </c>
      <c r="Z270" s="402" t="e">
        <f t="shared" si="24"/>
        <v>#VALUE!</v>
      </c>
      <c r="AA270" s="402" t="e">
        <f t="shared" si="25"/>
        <v>#VALUE!</v>
      </c>
      <c r="AB270" s="669" t="e">
        <f t="shared" si="26"/>
        <v>#VALUE!</v>
      </c>
      <c r="AC270" s="403"/>
    </row>
    <row r="271" spans="2:29" s="121" customFormat="1" outlineLevel="1">
      <c r="B271" s="1167"/>
      <c r="C271" s="1168"/>
      <c r="D271" s="1750" t="s">
        <v>290</v>
      </c>
      <c r="E271" s="1751"/>
      <c r="F271" s="1751"/>
      <c r="G271" s="1752"/>
      <c r="H271" s="835"/>
      <c r="I271" s="1327" t="e">
        <f t="shared" si="0"/>
        <v>#DIV/0!</v>
      </c>
      <c r="J271" s="736" t="s">
        <v>365</v>
      </c>
      <c r="K271" s="736" t="s">
        <v>365</v>
      </c>
      <c r="L271" s="1330" t="str">
        <f t="shared" si="16"/>
        <v>Non renseigné</v>
      </c>
      <c r="M271" s="736" t="str">
        <f t="shared" si="12"/>
        <v>-</v>
      </c>
      <c r="N271" s="822" t="e">
        <f t="shared" si="13"/>
        <v>#VALUE!</v>
      </c>
      <c r="O271" s="733" t="e">
        <f t="shared" si="27"/>
        <v>#VALUE!</v>
      </c>
      <c r="P271" s="822" t="e">
        <f t="shared" si="28"/>
        <v>#VALUE!</v>
      </c>
      <c r="Q271" s="823"/>
      <c r="R271" s="942"/>
      <c r="S271" s="402" t="e">
        <f t="shared" si="17"/>
        <v>#VALUE!</v>
      </c>
      <c r="T271" s="402" t="e">
        <f t="shared" si="18"/>
        <v>#VALUE!</v>
      </c>
      <c r="U271" s="402" t="e">
        <f t="shared" si="19"/>
        <v>#VALUE!</v>
      </c>
      <c r="V271" s="402" t="e">
        <f t="shared" si="20"/>
        <v>#VALUE!</v>
      </c>
      <c r="W271" s="402" t="e">
        <f t="shared" si="21"/>
        <v>#VALUE!</v>
      </c>
      <c r="X271" s="402" t="e">
        <f t="shared" si="22"/>
        <v>#VALUE!</v>
      </c>
      <c r="Y271" s="402" t="e">
        <f t="shared" si="23"/>
        <v>#VALUE!</v>
      </c>
      <c r="Z271" s="402" t="e">
        <f t="shared" si="24"/>
        <v>#VALUE!</v>
      </c>
      <c r="AA271" s="402" t="e">
        <f t="shared" si="25"/>
        <v>#VALUE!</v>
      </c>
      <c r="AB271" s="669" t="e">
        <f t="shared" si="26"/>
        <v>#VALUE!</v>
      </c>
      <c r="AC271" s="403"/>
    </row>
    <row r="272" spans="2:29" s="121" customFormat="1" outlineLevel="1">
      <c r="B272" s="1167"/>
      <c r="C272" s="1168"/>
      <c r="D272" s="1750" t="s">
        <v>290</v>
      </c>
      <c r="E272" s="1751"/>
      <c r="F272" s="1751"/>
      <c r="G272" s="1752"/>
      <c r="H272" s="835"/>
      <c r="I272" s="1327" t="e">
        <f t="shared" si="0"/>
        <v>#DIV/0!</v>
      </c>
      <c r="J272" s="736" t="s">
        <v>365</v>
      </c>
      <c r="K272" s="736" t="s">
        <v>365</v>
      </c>
      <c r="L272" s="1330" t="str">
        <f t="shared" si="16"/>
        <v>Non renseigné</v>
      </c>
      <c r="M272" s="736" t="str">
        <f t="shared" si="12"/>
        <v>-</v>
      </c>
      <c r="N272" s="822" t="e">
        <f t="shared" si="13"/>
        <v>#VALUE!</v>
      </c>
      <c r="O272" s="733" t="e">
        <f t="shared" si="27"/>
        <v>#VALUE!</v>
      </c>
      <c r="P272" s="822" t="e">
        <f t="shared" si="28"/>
        <v>#VALUE!</v>
      </c>
      <c r="Q272" s="823"/>
      <c r="R272" s="942"/>
      <c r="S272" s="402" t="e">
        <f t="shared" si="17"/>
        <v>#VALUE!</v>
      </c>
      <c r="T272" s="402" t="e">
        <f t="shared" si="18"/>
        <v>#VALUE!</v>
      </c>
      <c r="U272" s="402" t="e">
        <f t="shared" si="19"/>
        <v>#VALUE!</v>
      </c>
      <c r="V272" s="402" t="e">
        <f t="shared" si="20"/>
        <v>#VALUE!</v>
      </c>
      <c r="W272" s="402" t="e">
        <f t="shared" si="21"/>
        <v>#VALUE!</v>
      </c>
      <c r="X272" s="402" t="e">
        <f t="shared" si="22"/>
        <v>#VALUE!</v>
      </c>
      <c r="Y272" s="402" t="e">
        <f t="shared" si="23"/>
        <v>#VALUE!</v>
      </c>
      <c r="Z272" s="402" t="e">
        <f t="shared" si="24"/>
        <v>#VALUE!</v>
      </c>
      <c r="AA272" s="402" t="e">
        <f t="shared" si="25"/>
        <v>#VALUE!</v>
      </c>
      <c r="AB272" s="669" t="e">
        <f t="shared" si="26"/>
        <v>#VALUE!</v>
      </c>
      <c r="AC272" s="403"/>
    </row>
    <row r="273" spans="2:29" outlineLevel="1">
      <c r="B273" s="1167"/>
      <c r="C273" s="1168"/>
      <c r="D273" s="1750" t="s">
        <v>290</v>
      </c>
      <c r="E273" s="1751"/>
      <c r="F273" s="1751"/>
      <c r="G273" s="1752"/>
      <c r="H273" s="835"/>
      <c r="I273" s="1327" t="e">
        <f t="shared" si="0"/>
        <v>#DIV/0!</v>
      </c>
      <c r="J273" s="736" t="s">
        <v>365</v>
      </c>
      <c r="K273" s="736" t="s">
        <v>365</v>
      </c>
      <c r="L273" s="1330" t="str">
        <f t="shared" si="16"/>
        <v>Non renseigné</v>
      </c>
      <c r="M273" s="736" t="str">
        <f t="shared" si="12"/>
        <v>-</v>
      </c>
      <c r="N273" s="822" t="e">
        <f t="shared" si="13"/>
        <v>#VALUE!</v>
      </c>
      <c r="O273" s="733" t="e">
        <f t="shared" si="27"/>
        <v>#VALUE!</v>
      </c>
      <c r="P273" s="822" t="e">
        <f t="shared" si="28"/>
        <v>#VALUE!</v>
      </c>
      <c r="Q273" s="823"/>
      <c r="R273" s="942"/>
      <c r="S273" s="402" t="e">
        <f t="shared" si="17"/>
        <v>#VALUE!</v>
      </c>
      <c r="T273" s="402" t="e">
        <f t="shared" si="18"/>
        <v>#VALUE!</v>
      </c>
      <c r="U273" s="402" t="e">
        <f t="shared" si="19"/>
        <v>#VALUE!</v>
      </c>
      <c r="V273" s="402" t="e">
        <f t="shared" si="20"/>
        <v>#VALUE!</v>
      </c>
      <c r="W273" s="402" t="e">
        <f t="shared" si="21"/>
        <v>#VALUE!</v>
      </c>
      <c r="X273" s="402" t="e">
        <f t="shared" si="22"/>
        <v>#VALUE!</v>
      </c>
      <c r="Y273" s="402" t="e">
        <f t="shared" si="23"/>
        <v>#VALUE!</v>
      </c>
      <c r="Z273" s="402" t="e">
        <f t="shared" si="24"/>
        <v>#VALUE!</v>
      </c>
      <c r="AA273" s="402" t="e">
        <f t="shared" si="25"/>
        <v>#VALUE!</v>
      </c>
      <c r="AB273" s="669" t="e">
        <f t="shared" si="26"/>
        <v>#VALUE!</v>
      </c>
    </row>
    <row r="274" spans="2:29" s="121" customFormat="1" outlineLevel="1">
      <c r="B274" s="1167"/>
      <c r="C274" s="1168"/>
      <c r="D274" s="1750" t="s">
        <v>290</v>
      </c>
      <c r="E274" s="1751"/>
      <c r="F274" s="1751"/>
      <c r="G274" s="1752"/>
      <c r="H274" s="835"/>
      <c r="I274" s="1327" t="e">
        <f t="shared" si="0"/>
        <v>#DIV/0!</v>
      </c>
      <c r="J274" s="736" t="s">
        <v>365</v>
      </c>
      <c r="K274" s="736" t="s">
        <v>365</v>
      </c>
      <c r="L274" s="1330" t="str">
        <f t="shared" si="16"/>
        <v>Non renseigné</v>
      </c>
      <c r="M274" s="736" t="str">
        <f t="shared" si="12"/>
        <v>-</v>
      </c>
      <c r="N274" s="822" t="e">
        <f t="shared" si="13"/>
        <v>#VALUE!</v>
      </c>
      <c r="O274" s="733" t="e">
        <f t="shared" si="27"/>
        <v>#VALUE!</v>
      </c>
      <c r="P274" s="822" t="e">
        <f t="shared" si="28"/>
        <v>#VALUE!</v>
      </c>
      <c r="Q274" s="823"/>
      <c r="R274" s="942"/>
      <c r="S274" s="402" t="e">
        <f t="shared" si="17"/>
        <v>#VALUE!</v>
      </c>
      <c r="T274" s="402" t="e">
        <f t="shared" si="18"/>
        <v>#VALUE!</v>
      </c>
      <c r="U274" s="402" t="e">
        <f t="shared" si="19"/>
        <v>#VALUE!</v>
      </c>
      <c r="V274" s="402" t="e">
        <f t="shared" si="20"/>
        <v>#VALUE!</v>
      </c>
      <c r="W274" s="402" t="e">
        <f t="shared" si="21"/>
        <v>#VALUE!</v>
      </c>
      <c r="X274" s="402" t="e">
        <f t="shared" si="22"/>
        <v>#VALUE!</v>
      </c>
      <c r="Y274" s="402" t="e">
        <f t="shared" si="23"/>
        <v>#VALUE!</v>
      </c>
      <c r="Z274" s="402" t="e">
        <f t="shared" si="24"/>
        <v>#VALUE!</v>
      </c>
      <c r="AA274" s="402" t="e">
        <f t="shared" si="25"/>
        <v>#VALUE!</v>
      </c>
      <c r="AB274" s="669" t="e">
        <f t="shared" si="26"/>
        <v>#VALUE!</v>
      </c>
      <c r="AC274" s="403"/>
    </row>
    <row r="275" spans="2:29" s="121" customFormat="1" outlineLevel="1">
      <c r="B275" s="1167"/>
      <c r="C275" s="1168"/>
      <c r="D275" s="1750" t="s">
        <v>290</v>
      </c>
      <c r="E275" s="1751"/>
      <c r="F275" s="1751"/>
      <c r="G275" s="1752"/>
      <c r="H275" s="835"/>
      <c r="I275" s="1327" t="e">
        <f t="shared" si="0"/>
        <v>#DIV/0!</v>
      </c>
      <c r="J275" s="736" t="s">
        <v>365</v>
      </c>
      <c r="K275" s="736" t="s">
        <v>365</v>
      </c>
      <c r="L275" s="1330" t="str">
        <f t="shared" si="16"/>
        <v>Non renseigné</v>
      </c>
      <c r="M275" s="736" t="str">
        <f t="shared" si="12"/>
        <v>-</v>
      </c>
      <c r="N275" s="822" t="e">
        <f t="shared" si="13"/>
        <v>#VALUE!</v>
      </c>
      <c r="O275" s="733" t="e">
        <f t="shared" si="27"/>
        <v>#VALUE!</v>
      </c>
      <c r="P275" s="822" t="e">
        <f t="shared" si="28"/>
        <v>#VALUE!</v>
      </c>
      <c r="Q275" s="823"/>
      <c r="R275" s="942"/>
      <c r="S275" s="402" t="e">
        <f t="shared" si="17"/>
        <v>#VALUE!</v>
      </c>
      <c r="T275" s="402" t="e">
        <f t="shared" si="18"/>
        <v>#VALUE!</v>
      </c>
      <c r="U275" s="402" t="e">
        <f t="shared" si="19"/>
        <v>#VALUE!</v>
      </c>
      <c r="V275" s="402" t="e">
        <f t="shared" si="20"/>
        <v>#VALUE!</v>
      </c>
      <c r="W275" s="402" t="e">
        <f t="shared" si="21"/>
        <v>#VALUE!</v>
      </c>
      <c r="X275" s="402" t="e">
        <f t="shared" si="22"/>
        <v>#VALUE!</v>
      </c>
      <c r="Y275" s="402" t="e">
        <f t="shared" si="23"/>
        <v>#VALUE!</v>
      </c>
      <c r="Z275" s="402" t="e">
        <f t="shared" si="24"/>
        <v>#VALUE!</v>
      </c>
      <c r="AA275" s="402" t="e">
        <f t="shared" si="25"/>
        <v>#VALUE!</v>
      </c>
      <c r="AB275" s="669" t="e">
        <f t="shared" si="26"/>
        <v>#VALUE!</v>
      </c>
      <c r="AC275" s="403"/>
    </row>
    <row r="276" spans="2:29" s="121" customFormat="1" outlineLevel="1">
      <c r="B276" s="1167"/>
      <c r="C276" s="1168"/>
      <c r="D276" s="1750" t="s">
        <v>290</v>
      </c>
      <c r="E276" s="1751"/>
      <c r="F276" s="1751"/>
      <c r="G276" s="1752"/>
      <c r="H276" s="835"/>
      <c r="I276" s="1327" t="e">
        <f t="shared" si="0"/>
        <v>#DIV/0!</v>
      </c>
      <c r="J276" s="736" t="s">
        <v>365</v>
      </c>
      <c r="K276" s="736" t="s">
        <v>365</v>
      </c>
      <c r="L276" s="1330" t="str">
        <f t="shared" si="16"/>
        <v>Non renseigné</v>
      </c>
      <c r="M276" s="736" t="str">
        <f t="shared" si="12"/>
        <v>-</v>
      </c>
      <c r="N276" s="822" t="e">
        <f t="shared" si="13"/>
        <v>#VALUE!</v>
      </c>
      <c r="O276" s="733" t="e">
        <f t="shared" si="27"/>
        <v>#VALUE!</v>
      </c>
      <c r="P276" s="822" t="e">
        <f t="shared" si="28"/>
        <v>#VALUE!</v>
      </c>
      <c r="Q276" s="823"/>
      <c r="R276" s="942"/>
      <c r="S276" s="402" t="e">
        <f t="shared" si="17"/>
        <v>#VALUE!</v>
      </c>
      <c r="T276" s="402" t="e">
        <f t="shared" si="18"/>
        <v>#VALUE!</v>
      </c>
      <c r="U276" s="402" t="e">
        <f t="shared" si="19"/>
        <v>#VALUE!</v>
      </c>
      <c r="V276" s="402" t="e">
        <f t="shared" si="20"/>
        <v>#VALUE!</v>
      </c>
      <c r="W276" s="402" t="e">
        <f t="shared" si="21"/>
        <v>#VALUE!</v>
      </c>
      <c r="X276" s="402" t="e">
        <f t="shared" si="22"/>
        <v>#VALUE!</v>
      </c>
      <c r="Y276" s="402" t="e">
        <f t="shared" si="23"/>
        <v>#VALUE!</v>
      </c>
      <c r="Z276" s="402" t="e">
        <f t="shared" si="24"/>
        <v>#VALUE!</v>
      </c>
      <c r="AA276" s="402" t="e">
        <f t="shared" si="25"/>
        <v>#VALUE!</v>
      </c>
      <c r="AB276" s="669" t="e">
        <f t="shared" si="26"/>
        <v>#VALUE!</v>
      </c>
      <c r="AC276" s="403"/>
    </row>
    <row r="277" spans="2:29" s="121" customFormat="1" outlineLevel="1">
      <c r="B277" s="1167"/>
      <c r="C277" s="1168"/>
      <c r="D277" s="1750" t="s">
        <v>290</v>
      </c>
      <c r="E277" s="1751"/>
      <c r="F277" s="1751"/>
      <c r="G277" s="1752"/>
      <c r="H277" s="835"/>
      <c r="I277" s="1327" t="e">
        <f t="shared" si="0"/>
        <v>#DIV/0!</v>
      </c>
      <c r="J277" s="736" t="s">
        <v>365</v>
      </c>
      <c r="K277" s="736" t="s">
        <v>365</v>
      </c>
      <c r="L277" s="1330" t="str">
        <f t="shared" si="16"/>
        <v>Non renseigné</v>
      </c>
      <c r="M277" s="736" t="str">
        <f t="shared" si="12"/>
        <v>-</v>
      </c>
      <c r="N277" s="822" t="e">
        <f t="shared" si="13"/>
        <v>#VALUE!</v>
      </c>
      <c r="O277" s="733" t="e">
        <f t="shared" si="27"/>
        <v>#VALUE!</v>
      </c>
      <c r="P277" s="822" t="e">
        <f t="shared" si="28"/>
        <v>#VALUE!</v>
      </c>
      <c r="Q277" s="823"/>
      <c r="R277" s="942"/>
      <c r="S277" s="402" t="e">
        <f t="shared" si="17"/>
        <v>#VALUE!</v>
      </c>
      <c r="T277" s="402" t="e">
        <f t="shared" si="18"/>
        <v>#VALUE!</v>
      </c>
      <c r="U277" s="402" t="e">
        <f t="shared" si="19"/>
        <v>#VALUE!</v>
      </c>
      <c r="V277" s="402" t="e">
        <f t="shared" si="20"/>
        <v>#VALUE!</v>
      </c>
      <c r="W277" s="402" t="e">
        <f t="shared" si="21"/>
        <v>#VALUE!</v>
      </c>
      <c r="X277" s="402" t="e">
        <f t="shared" si="22"/>
        <v>#VALUE!</v>
      </c>
      <c r="Y277" s="402" t="e">
        <f t="shared" si="23"/>
        <v>#VALUE!</v>
      </c>
      <c r="Z277" s="402" t="e">
        <f t="shared" si="24"/>
        <v>#VALUE!</v>
      </c>
      <c r="AA277" s="402" t="e">
        <f t="shared" si="25"/>
        <v>#VALUE!</v>
      </c>
      <c r="AB277" s="669" t="e">
        <f t="shared" si="26"/>
        <v>#VALUE!</v>
      </c>
      <c r="AC277" s="403"/>
    </row>
    <row r="278" spans="2:29" s="121" customFormat="1" outlineLevel="1">
      <c r="B278" s="1167"/>
      <c r="C278" s="1168"/>
      <c r="D278" s="1750" t="s">
        <v>290</v>
      </c>
      <c r="E278" s="1751"/>
      <c r="F278" s="1751"/>
      <c r="G278" s="1752"/>
      <c r="H278" s="835"/>
      <c r="I278" s="1327" t="e">
        <f t="shared" si="0"/>
        <v>#DIV/0!</v>
      </c>
      <c r="J278" s="736" t="s">
        <v>365</v>
      </c>
      <c r="K278" s="736" t="s">
        <v>365</v>
      </c>
      <c r="L278" s="1330" t="str">
        <f t="shared" si="16"/>
        <v>Non renseigné</v>
      </c>
      <c r="M278" s="736" t="str">
        <f t="shared" si="12"/>
        <v>-</v>
      </c>
      <c r="N278" s="822" t="e">
        <f t="shared" si="13"/>
        <v>#VALUE!</v>
      </c>
      <c r="O278" s="733" t="e">
        <f t="shared" si="27"/>
        <v>#VALUE!</v>
      </c>
      <c r="P278" s="822" t="e">
        <f t="shared" si="28"/>
        <v>#VALUE!</v>
      </c>
      <c r="Q278" s="823"/>
      <c r="R278" s="942"/>
      <c r="S278" s="402" t="e">
        <f t="shared" si="17"/>
        <v>#VALUE!</v>
      </c>
      <c r="T278" s="402" t="e">
        <f t="shared" si="18"/>
        <v>#VALUE!</v>
      </c>
      <c r="U278" s="402" t="e">
        <f t="shared" si="19"/>
        <v>#VALUE!</v>
      </c>
      <c r="V278" s="402" t="e">
        <f t="shared" si="20"/>
        <v>#VALUE!</v>
      </c>
      <c r="W278" s="402" t="e">
        <f t="shared" si="21"/>
        <v>#VALUE!</v>
      </c>
      <c r="X278" s="402" t="e">
        <f t="shared" si="22"/>
        <v>#VALUE!</v>
      </c>
      <c r="Y278" s="402" t="e">
        <f t="shared" si="23"/>
        <v>#VALUE!</v>
      </c>
      <c r="Z278" s="402" t="e">
        <f t="shared" si="24"/>
        <v>#VALUE!</v>
      </c>
      <c r="AA278" s="402" t="e">
        <f t="shared" si="25"/>
        <v>#VALUE!</v>
      </c>
      <c r="AB278" s="669" t="e">
        <f t="shared" si="26"/>
        <v>#VALUE!</v>
      </c>
      <c r="AC278" s="403"/>
    </row>
    <row r="279" spans="2:29" s="121" customFormat="1" outlineLevel="1">
      <c r="B279" s="1167"/>
      <c r="C279" s="1168"/>
      <c r="D279" s="1750" t="s">
        <v>290</v>
      </c>
      <c r="E279" s="1751"/>
      <c r="F279" s="1751"/>
      <c r="G279" s="1752"/>
      <c r="H279" s="835"/>
      <c r="I279" s="1327" t="e">
        <f t="shared" si="0"/>
        <v>#DIV/0!</v>
      </c>
      <c r="J279" s="736" t="s">
        <v>365</v>
      </c>
      <c r="K279" s="736" t="s">
        <v>365</v>
      </c>
      <c r="L279" s="1330" t="str">
        <f t="shared" si="16"/>
        <v>Non renseigné</v>
      </c>
      <c r="M279" s="736" t="str">
        <f t="shared" si="12"/>
        <v>-</v>
      </c>
      <c r="N279" s="822" t="e">
        <f t="shared" si="13"/>
        <v>#VALUE!</v>
      </c>
      <c r="O279" s="733" t="e">
        <f t="shared" si="27"/>
        <v>#VALUE!</v>
      </c>
      <c r="P279" s="822" t="e">
        <f t="shared" si="28"/>
        <v>#VALUE!</v>
      </c>
      <c r="Q279" s="823"/>
      <c r="R279" s="942"/>
      <c r="S279" s="402" t="e">
        <f t="shared" si="17"/>
        <v>#VALUE!</v>
      </c>
      <c r="T279" s="402" t="e">
        <f t="shared" si="18"/>
        <v>#VALUE!</v>
      </c>
      <c r="U279" s="402" t="e">
        <f t="shared" si="19"/>
        <v>#VALUE!</v>
      </c>
      <c r="V279" s="402" t="e">
        <f t="shared" si="20"/>
        <v>#VALUE!</v>
      </c>
      <c r="W279" s="402" t="e">
        <f t="shared" si="21"/>
        <v>#VALUE!</v>
      </c>
      <c r="X279" s="402" t="e">
        <f t="shared" si="22"/>
        <v>#VALUE!</v>
      </c>
      <c r="Y279" s="402" t="e">
        <f t="shared" si="23"/>
        <v>#VALUE!</v>
      </c>
      <c r="Z279" s="402" t="e">
        <f t="shared" si="24"/>
        <v>#VALUE!</v>
      </c>
      <c r="AA279" s="402" t="e">
        <f t="shared" si="25"/>
        <v>#VALUE!</v>
      </c>
      <c r="AB279" s="669" t="e">
        <f t="shared" si="26"/>
        <v>#VALUE!</v>
      </c>
      <c r="AC279" s="403"/>
    </row>
    <row r="280" spans="2:29" s="121" customFormat="1" outlineLevel="1">
      <c r="B280" s="1167"/>
      <c r="C280" s="1168"/>
      <c r="D280" s="1750" t="s">
        <v>290</v>
      </c>
      <c r="E280" s="1751"/>
      <c r="F280" s="1751"/>
      <c r="G280" s="1752"/>
      <c r="H280" s="835"/>
      <c r="I280" s="1327" t="e">
        <f t="shared" si="0"/>
        <v>#DIV/0!</v>
      </c>
      <c r="J280" s="736" t="s">
        <v>365</v>
      </c>
      <c r="K280" s="736" t="s">
        <v>365</v>
      </c>
      <c r="L280" s="1330" t="str">
        <f t="shared" si="16"/>
        <v>Non renseigné</v>
      </c>
      <c r="M280" s="736" t="str">
        <f t="shared" si="12"/>
        <v>-</v>
      </c>
      <c r="N280" s="822" t="e">
        <f t="shared" si="13"/>
        <v>#VALUE!</v>
      </c>
      <c r="O280" s="733" t="e">
        <f t="shared" si="27"/>
        <v>#VALUE!</v>
      </c>
      <c r="P280" s="822" t="e">
        <f t="shared" si="28"/>
        <v>#VALUE!</v>
      </c>
      <c r="Q280" s="823"/>
      <c r="R280" s="942"/>
      <c r="S280" s="402" t="e">
        <f t="shared" si="17"/>
        <v>#VALUE!</v>
      </c>
      <c r="T280" s="402" t="e">
        <f t="shared" si="18"/>
        <v>#VALUE!</v>
      </c>
      <c r="U280" s="402" t="e">
        <f t="shared" si="19"/>
        <v>#VALUE!</v>
      </c>
      <c r="V280" s="402" t="e">
        <f t="shared" si="20"/>
        <v>#VALUE!</v>
      </c>
      <c r="W280" s="402" t="e">
        <f t="shared" si="21"/>
        <v>#VALUE!</v>
      </c>
      <c r="X280" s="402" t="e">
        <f t="shared" si="22"/>
        <v>#VALUE!</v>
      </c>
      <c r="Y280" s="402" t="e">
        <f t="shared" si="23"/>
        <v>#VALUE!</v>
      </c>
      <c r="Z280" s="402" t="e">
        <f t="shared" si="24"/>
        <v>#VALUE!</v>
      </c>
      <c r="AA280" s="402" t="e">
        <f t="shared" si="25"/>
        <v>#VALUE!</v>
      </c>
      <c r="AB280" s="669" t="e">
        <f t="shared" si="26"/>
        <v>#VALUE!</v>
      </c>
      <c r="AC280" s="403"/>
    </row>
    <row r="281" spans="2:29" s="121" customFormat="1" outlineLevel="1">
      <c r="B281" s="1167"/>
      <c r="C281" s="1168"/>
      <c r="D281" s="1750" t="s">
        <v>290</v>
      </c>
      <c r="E281" s="1751"/>
      <c r="F281" s="1751"/>
      <c r="G281" s="1752"/>
      <c r="H281" s="835"/>
      <c r="I281" s="1327" t="e">
        <f t="shared" si="0"/>
        <v>#DIV/0!</v>
      </c>
      <c r="J281" s="736" t="s">
        <v>365</v>
      </c>
      <c r="K281" s="736" t="s">
        <v>365</v>
      </c>
      <c r="L281" s="1330" t="str">
        <f t="shared" si="16"/>
        <v>Non renseigné</v>
      </c>
      <c r="M281" s="736" t="str">
        <f t="shared" si="12"/>
        <v>-</v>
      </c>
      <c r="N281" s="822" t="e">
        <f t="shared" si="13"/>
        <v>#VALUE!</v>
      </c>
      <c r="O281" s="733" t="e">
        <f t="shared" si="27"/>
        <v>#VALUE!</v>
      </c>
      <c r="P281" s="822" t="e">
        <f t="shared" si="28"/>
        <v>#VALUE!</v>
      </c>
      <c r="Q281" s="823"/>
      <c r="R281" s="942"/>
      <c r="S281" s="402" t="e">
        <f t="shared" si="17"/>
        <v>#VALUE!</v>
      </c>
      <c r="T281" s="402" t="e">
        <f t="shared" si="18"/>
        <v>#VALUE!</v>
      </c>
      <c r="U281" s="402" t="e">
        <f t="shared" si="19"/>
        <v>#VALUE!</v>
      </c>
      <c r="V281" s="402" t="e">
        <f t="shared" si="20"/>
        <v>#VALUE!</v>
      </c>
      <c r="W281" s="402" t="e">
        <f t="shared" si="21"/>
        <v>#VALUE!</v>
      </c>
      <c r="X281" s="402" t="e">
        <f t="shared" si="22"/>
        <v>#VALUE!</v>
      </c>
      <c r="Y281" s="402" t="e">
        <f t="shared" si="23"/>
        <v>#VALUE!</v>
      </c>
      <c r="Z281" s="402" t="e">
        <f t="shared" si="24"/>
        <v>#VALUE!</v>
      </c>
      <c r="AA281" s="402" t="e">
        <f t="shared" si="25"/>
        <v>#VALUE!</v>
      </c>
      <c r="AB281" s="669" t="e">
        <f t="shared" si="26"/>
        <v>#VALUE!</v>
      </c>
      <c r="AC281" s="403"/>
    </row>
    <row r="282" spans="2:29" s="121" customFormat="1" outlineLevel="1">
      <c r="B282" s="1167"/>
      <c r="C282" s="1168"/>
      <c r="D282" s="1750" t="s">
        <v>290</v>
      </c>
      <c r="E282" s="1751"/>
      <c r="F282" s="1751"/>
      <c r="G282" s="1752"/>
      <c r="H282" s="835"/>
      <c r="I282" s="1327" t="e">
        <f t="shared" si="0"/>
        <v>#DIV/0!</v>
      </c>
      <c r="J282" s="736" t="s">
        <v>365</v>
      </c>
      <c r="K282" s="736" t="s">
        <v>365</v>
      </c>
      <c r="L282" s="1330" t="str">
        <f t="shared" si="16"/>
        <v>Non renseigné</v>
      </c>
      <c r="M282" s="736" t="str">
        <f t="shared" si="12"/>
        <v>-</v>
      </c>
      <c r="N282" s="822" t="e">
        <f t="shared" si="13"/>
        <v>#VALUE!</v>
      </c>
      <c r="O282" s="733" t="e">
        <f t="shared" si="27"/>
        <v>#VALUE!</v>
      </c>
      <c r="P282" s="822" t="e">
        <f t="shared" si="28"/>
        <v>#VALUE!</v>
      </c>
      <c r="Q282" s="823"/>
      <c r="R282" s="942"/>
      <c r="S282" s="402" t="e">
        <f t="shared" si="17"/>
        <v>#VALUE!</v>
      </c>
      <c r="T282" s="402" t="e">
        <f t="shared" si="18"/>
        <v>#VALUE!</v>
      </c>
      <c r="U282" s="402" t="e">
        <f t="shared" si="19"/>
        <v>#VALUE!</v>
      </c>
      <c r="V282" s="402" t="e">
        <f t="shared" si="20"/>
        <v>#VALUE!</v>
      </c>
      <c r="W282" s="402" t="e">
        <f t="shared" si="21"/>
        <v>#VALUE!</v>
      </c>
      <c r="X282" s="402" t="e">
        <f t="shared" si="22"/>
        <v>#VALUE!</v>
      </c>
      <c r="Y282" s="402" t="e">
        <f t="shared" si="23"/>
        <v>#VALUE!</v>
      </c>
      <c r="Z282" s="402" t="e">
        <f t="shared" si="24"/>
        <v>#VALUE!</v>
      </c>
      <c r="AA282" s="402" t="e">
        <f t="shared" si="25"/>
        <v>#VALUE!</v>
      </c>
      <c r="AB282" s="669" t="e">
        <f t="shared" si="26"/>
        <v>#VALUE!</v>
      </c>
      <c r="AC282" s="403"/>
    </row>
    <row r="283" spans="2:29" outlineLevel="1">
      <c r="B283" s="1167"/>
      <c r="C283" s="1168"/>
      <c r="D283" s="1750" t="s">
        <v>290</v>
      </c>
      <c r="E283" s="1751"/>
      <c r="F283" s="1751"/>
      <c r="G283" s="1752"/>
      <c r="H283" s="835"/>
      <c r="I283" s="1327" t="e">
        <f t="shared" si="0"/>
        <v>#DIV/0!</v>
      </c>
      <c r="J283" s="736" t="s">
        <v>365</v>
      </c>
      <c r="K283" s="736" t="s">
        <v>365</v>
      </c>
      <c r="L283" s="1330" t="str">
        <f t="shared" si="16"/>
        <v>Non renseigné</v>
      </c>
      <c r="M283" s="736" t="str">
        <f t="shared" si="12"/>
        <v>-</v>
      </c>
      <c r="N283" s="822" t="e">
        <f t="shared" si="13"/>
        <v>#VALUE!</v>
      </c>
      <c r="O283" s="733" t="e">
        <f t="shared" si="27"/>
        <v>#VALUE!</v>
      </c>
      <c r="P283" s="822" t="e">
        <f t="shared" si="28"/>
        <v>#VALUE!</v>
      </c>
      <c r="Q283" s="823"/>
      <c r="R283" s="942"/>
      <c r="S283" s="402" t="e">
        <f t="shared" si="17"/>
        <v>#VALUE!</v>
      </c>
      <c r="T283" s="402" t="e">
        <f t="shared" si="18"/>
        <v>#VALUE!</v>
      </c>
      <c r="U283" s="402" t="e">
        <f t="shared" si="19"/>
        <v>#VALUE!</v>
      </c>
      <c r="V283" s="402" t="e">
        <f t="shared" si="20"/>
        <v>#VALUE!</v>
      </c>
      <c r="W283" s="402" t="e">
        <f t="shared" si="21"/>
        <v>#VALUE!</v>
      </c>
      <c r="X283" s="402" t="e">
        <f t="shared" si="22"/>
        <v>#VALUE!</v>
      </c>
      <c r="Y283" s="402" t="e">
        <f t="shared" si="23"/>
        <v>#VALUE!</v>
      </c>
      <c r="Z283" s="402" t="e">
        <f t="shared" si="24"/>
        <v>#VALUE!</v>
      </c>
      <c r="AA283" s="402" t="e">
        <f t="shared" si="25"/>
        <v>#VALUE!</v>
      </c>
      <c r="AB283" s="669" t="e">
        <f t="shared" si="26"/>
        <v>#VALUE!</v>
      </c>
    </row>
    <row r="284" spans="2:29" s="121" customFormat="1" outlineLevel="1">
      <c r="B284" s="1167"/>
      <c r="C284" s="1168"/>
      <c r="D284" s="1750" t="s">
        <v>290</v>
      </c>
      <c r="E284" s="1751"/>
      <c r="F284" s="1751"/>
      <c r="G284" s="1752"/>
      <c r="H284" s="835"/>
      <c r="I284" s="1327" t="e">
        <f t="shared" si="0"/>
        <v>#DIV/0!</v>
      </c>
      <c r="J284" s="736" t="s">
        <v>365</v>
      </c>
      <c r="K284" s="736" t="s">
        <v>365</v>
      </c>
      <c r="L284" s="1330" t="str">
        <f t="shared" si="16"/>
        <v>Non renseigné</v>
      </c>
      <c r="M284" s="736" t="str">
        <f t="shared" si="12"/>
        <v>-</v>
      </c>
      <c r="N284" s="822" t="e">
        <f t="shared" si="13"/>
        <v>#VALUE!</v>
      </c>
      <c r="O284" s="733" t="e">
        <f t="shared" si="27"/>
        <v>#VALUE!</v>
      </c>
      <c r="P284" s="822" t="e">
        <f t="shared" si="28"/>
        <v>#VALUE!</v>
      </c>
      <c r="Q284" s="823"/>
      <c r="R284" s="942"/>
      <c r="S284" s="402" t="e">
        <f t="shared" si="17"/>
        <v>#VALUE!</v>
      </c>
      <c r="T284" s="402" t="e">
        <f t="shared" si="18"/>
        <v>#VALUE!</v>
      </c>
      <c r="U284" s="402" t="e">
        <f t="shared" si="19"/>
        <v>#VALUE!</v>
      </c>
      <c r="V284" s="402" t="e">
        <f t="shared" si="20"/>
        <v>#VALUE!</v>
      </c>
      <c r="W284" s="402" t="e">
        <f t="shared" si="21"/>
        <v>#VALUE!</v>
      </c>
      <c r="X284" s="402" t="e">
        <f t="shared" si="22"/>
        <v>#VALUE!</v>
      </c>
      <c r="Y284" s="402" t="e">
        <f t="shared" si="23"/>
        <v>#VALUE!</v>
      </c>
      <c r="Z284" s="402" t="e">
        <f t="shared" si="24"/>
        <v>#VALUE!</v>
      </c>
      <c r="AA284" s="402" t="e">
        <f t="shared" si="25"/>
        <v>#VALUE!</v>
      </c>
      <c r="AB284" s="669" t="e">
        <f t="shared" si="26"/>
        <v>#VALUE!</v>
      </c>
      <c r="AC284" s="403"/>
    </row>
    <row r="285" spans="2:29" s="121" customFormat="1" outlineLevel="1">
      <c r="B285" s="1167"/>
      <c r="C285" s="1168"/>
      <c r="D285" s="1750" t="s">
        <v>290</v>
      </c>
      <c r="E285" s="1751"/>
      <c r="F285" s="1751"/>
      <c r="G285" s="1752"/>
      <c r="H285" s="835"/>
      <c r="I285" s="1327" t="e">
        <f t="shared" si="0"/>
        <v>#DIV/0!</v>
      </c>
      <c r="J285" s="736" t="s">
        <v>365</v>
      </c>
      <c r="K285" s="736" t="s">
        <v>365</v>
      </c>
      <c r="L285" s="1330" t="str">
        <f t="shared" si="16"/>
        <v>Non renseigné</v>
      </c>
      <c r="M285" s="736" t="str">
        <f t="shared" si="12"/>
        <v>-</v>
      </c>
      <c r="N285" s="822" t="e">
        <f t="shared" si="13"/>
        <v>#VALUE!</v>
      </c>
      <c r="O285" s="733" t="e">
        <f t="shared" si="27"/>
        <v>#VALUE!</v>
      </c>
      <c r="P285" s="822" t="e">
        <f t="shared" si="28"/>
        <v>#VALUE!</v>
      </c>
      <c r="Q285" s="823"/>
      <c r="R285" s="942"/>
      <c r="S285" s="402" t="e">
        <f t="shared" si="17"/>
        <v>#VALUE!</v>
      </c>
      <c r="T285" s="402" t="e">
        <f t="shared" si="18"/>
        <v>#VALUE!</v>
      </c>
      <c r="U285" s="402" t="e">
        <f t="shared" si="19"/>
        <v>#VALUE!</v>
      </c>
      <c r="V285" s="402" t="e">
        <f t="shared" si="20"/>
        <v>#VALUE!</v>
      </c>
      <c r="W285" s="402" t="e">
        <f t="shared" si="21"/>
        <v>#VALUE!</v>
      </c>
      <c r="X285" s="402" t="e">
        <f t="shared" si="22"/>
        <v>#VALUE!</v>
      </c>
      <c r="Y285" s="402" t="e">
        <f t="shared" si="23"/>
        <v>#VALUE!</v>
      </c>
      <c r="Z285" s="402" t="e">
        <f t="shared" si="24"/>
        <v>#VALUE!</v>
      </c>
      <c r="AA285" s="402" t="e">
        <f t="shared" si="25"/>
        <v>#VALUE!</v>
      </c>
      <c r="AB285" s="669" t="e">
        <f t="shared" si="26"/>
        <v>#VALUE!</v>
      </c>
      <c r="AC285" s="403"/>
    </row>
    <row r="286" spans="2:29" s="121" customFormat="1" outlineLevel="1">
      <c r="B286" s="1167"/>
      <c r="C286" s="1168"/>
      <c r="D286" s="1750" t="s">
        <v>290</v>
      </c>
      <c r="E286" s="1751"/>
      <c r="F286" s="1751"/>
      <c r="G286" s="1752"/>
      <c r="H286" s="835"/>
      <c r="I286" s="1327" t="e">
        <f t="shared" si="0"/>
        <v>#DIV/0!</v>
      </c>
      <c r="J286" s="736" t="s">
        <v>365</v>
      </c>
      <c r="K286" s="736" t="s">
        <v>365</v>
      </c>
      <c r="L286" s="1330" t="str">
        <f t="shared" si="16"/>
        <v>Non renseigné</v>
      </c>
      <c r="M286" s="736" t="str">
        <f t="shared" si="12"/>
        <v>-</v>
      </c>
      <c r="N286" s="822" t="e">
        <f t="shared" si="13"/>
        <v>#VALUE!</v>
      </c>
      <c r="O286" s="733" t="e">
        <f t="shared" si="27"/>
        <v>#VALUE!</v>
      </c>
      <c r="P286" s="822" t="e">
        <f t="shared" si="28"/>
        <v>#VALUE!</v>
      </c>
      <c r="Q286" s="823"/>
      <c r="R286" s="942"/>
      <c r="S286" s="402" t="e">
        <f t="shared" si="17"/>
        <v>#VALUE!</v>
      </c>
      <c r="T286" s="402" t="e">
        <f t="shared" si="18"/>
        <v>#VALUE!</v>
      </c>
      <c r="U286" s="402" t="e">
        <f t="shared" si="19"/>
        <v>#VALUE!</v>
      </c>
      <c r="V286" s="402" t="e">
        <f t="shared" si="20"/>
        <v>#VALUE!</v>
      </c>
      <c r="W286" s="402" t="e">
        <f t="shared" si="21"/>
        <v>#VALUE!</v>
      </c>
      <c r="X286" s="402" t="e">
        <f t="shared" si="22"/>
        <v>#VALUE!</v>
      </c>
      <c r="Y286" s="402" t="e">
        <f t="shared" si="23"/>
        <v>#VALUE!</v>
      </c>
      <c r="Z286" s="402" t="e">
        <f t="shared" si="24"/>
        <v>#VALUE!</v>
      </c>
      <c r="AA286" s="402" t="e">
        <f t="shared" si="25"/>
        <v>#VALUE!</v>
      </c>
      <c r="AB286" s="669" t="e">
        <f t="shared" si="26"/>
        <v>#VALUE!</v>
      </c>
      <c r="AC286" s="403"/>
    </row>
    <row r="287" spans="2:29" s="121" customFormat="1" outlineLevel="1">
      <c r="B287" s="1167"/>
      <c r="C287" s="1168"/>
      <c r="D287" s="1750" t="s">
        <v>290</v>
      </c>
      <c r="E287" s="1751"/>
      <c r="F287" s="1751"/>
      <c r="G287" s="1752"/>
      <c r="H287" s="835"/>
      <c r="I287" s="1327" t="e">
        <f t="shared" si="0"/>
        <v>#DIV/0!</v>
      </c>
      <c r="J287" s="736" t="s">
        <v>365</v>
      </c>
      <c r="K287" s="736" t="s">
        <v>365</v>
      </c>
      <c r="L287" s="1330" t="str">
        <f t="shared" si="16"/>
        <v>Non renseigné</v>
      </c>
      <c r="M287" s="736" t="str">
        <f t="shared" si="12"/>
        <v>-</v>
      </c>
      <c r="N287" s="822" t="e">
        <f t="shared" si="13"/>
        <v>#VALUE!</v>
      </c>
      <c r="O287" s="733" t="e">
        <f t="shared" si="27"/>
        <v>#VALUE!</v>
      </c>
      <c r="P287" s="822" t="e">
        <f t="shared" si="28"/>
        <v>#VALUE!</v>
      </c>
      <c r="Q287" s="823"/>
      <c r="R287" s="942"/>
      <c r="S287" s="402" t="e">
        <f t="shared" si="17"/>
        <v>#VALUE!</v>
      </c>
      <c r="T287" s="402" t="e">
        <f t="shared" si="18"/>
        <v>#VALUE!</v>
      </c>
      <c r="U287" s="402" t="e">
        <f t="shared" si="19"/>
        <v>#VALUE!</v>
      </c>
      <c r="V287" s="402" t="e">
        <f t="shared" si="20"/>
        <v>#VALUE!</v>
      </c>
      <c r="W287" s="402" t="e">
        <f t="shared" si="21"/>
        <v>#VALUE!</v>
      </c>
      <c r="X287" s="402" t="e">
        <f t="shared" si="22"/>
        <v>#VALUE!</v>
      </c>
      <c r="Y287" s="402" t="e">
        <f t="shared" si="23"/>
        <v>#VALUE!</v>
      </c>
      <c r="Z287" s="402" t="e">
        <f t="shared" si="24"/>
        <v>#VALUE!</v>
      </c>
      <c r="AA287" s="402" t="e">
        <f t="shared" si="25"/>
        <v>#VALUE!</v>
      </c>
      <c r="AB287" s="669" t="e">
        <f t="shared" si="26"/>
        <v>#VALUE!</v>
      </c>
      <c r="AC287" s="403"/>
    </row>
    <row r="288" spans="2:29" s="121" customFormat="1" outlineLevel="1">
      <c r="B288" s="1167"/>
      <c r="C288" s="1168"/>
      <c r="D288" s="1750" t="s">
        <v>290</v>
      </c>
      <c r="E288" s="1751"/>
      <c r="F288" s="1751"/>
      <c r="G288" s="1752"/>
      <c r="H288" s="835"/>
      <c r="I288" s="1327" t="e">
        <f t="shared" si="0"/>
        <v>#DIV/0!</v>
      </c>
      <c r="J288" s="736" t="s">
        <v>365</v>
      </c>
      <c r="K288" s="736" t="s">
        <v>365</v>
      </c>
      <c r="L288" s="1330" t="str">
        <f t="shared" si="16"/>
        <v>Non renseigné</v>
      </c>
      <c r="M288" s="736" t="str">
        <f t="shared" si="12"/>
        <v>-</v>
      </c>
      <c r="N288" s="822" t="e">
        <f t="shared" si="13"/>
        <v>#VALUE!</v>
      </c>
      <c r="O288" s="733" t="e">
        <f t="shared" si="27"/>
        <v>#VALUE!</v>
      </c>
      <c r="P288" s="822" t="e">
        <f t="shared" si="28"/>
        <v>#VALUE!</v>
      </c>
      <c r="Q288" s="823"/>
      <c r="R288" s="942"/>
      <c r="S288" s="402" t="e">
        <f t="shared" si="17"/>
        <v>#VALUE!</v>
      </c>
      <c r="T288" s="402" t="e">
        <f t="shared" si="18"/>
        <v>#VALUE!</v>
      </c>
      <c r="U288" s="402" t="e">
        <f t="shared" si="19"/>
        <v>#VALUE!</v>
      </c>
      <c r="V288" s="402" t="e">
        <f t="shared" si="20"/>
        <v>#VALUE!</v>
      </c>
      <c r="W288" s="402" t="e">
        <f t="shared" si="21"/>
        <v>#VALUE!</v>
      </c>
      <c r="X288" s="402" t="e">
        <f t="shared" si="22"/>
        <v>#VALUE!</v>
      </c>
      <c r="Y288" s="402" t="e">
        <f t="shared" si="23"/>
        <v>#VALUE!</v>
      </c>
      <c r="Z288" s="402" t="e">
        <f t="shared" si="24"/>
        <v>#VALUE!</v>
      </c>
      <c r="AA288" s="402" t="e">
        <f t="shared" si="25"/>
        <v>#VALUE!</v>
      </c>
      <c r="AB288" s="669" t="e">
        <f t="shared" si="26"/>
        <v>#VALUE!</v>
      </c>
      <c r="AC288" s="403"/>
    </row>
    <row r="289" spans="2:29" s="121" customFormat="1" outlineLevel="1">
      <c r="B289" s="1167"/>
      <c r="C289" s="1168"/>
      <c r="D289" s="1750" t="s">
        <v>290</v>
      </c>
      <c r="E289" s="1751"/>
      <c r="F289" s="1751"/>
      <c r="G289" s="1752"/>
      <c r="H289" s="835"/>
      <c r="I289" s="1327" t="e">
        <f t="shared" si="0"/>
        <v>#DIV/0!</v>
      </c>
      <c r="J289" s="736" t="s">
        <v>365</v>
      </c>
      <c r="K289" s="736" t="s">
        <v>365</v>
      </c>
      <c r="L289" s="1330" t="str">
        <f t="shared" si="16"/>
        <v>Non renseigné</v>
      </c>
      <c r="M289" s="736" t="str">
        <f t="shared" si="12"/>
        <v>-</v>
      </c>
      <c r="N289" s="822" t="e">
        <f t="shared" si="13"/>
        <v>#VALUE!</v>
      </c>
      <c r="O289" s="733" t="e">
        <f t="shared" si="27"/>
        <v>#VALUE!</v>
      </c>
      <c r="P289" s="822" t="e">
        <f t="shared" si="28"/>
        <v>#VALUE!</v>
      </c>
      <c r="Q289" s="823"/>
      <c r="R289" s="942"/>
      <c r="S289" s="402" t="e">
        <f t="shared" si="17"/>
        <v>#VALUE!</v>
      </c>
      <c r="T289" s="402" t="e">
        <f t="shared" si="18"/>
        <v>#VALUE!</v>
      </c>
      <c r="U289" s="402" t="e">
        <f t="shared" si="19"/>
        <v>#VALUE!</v>
      </c>
      <c r="V289" s="402" t="e">
        <f t="shared" si="20"/>
        <v>#VALUE!</v>
      </c>
      <c r="W289" s="402" t="e">
        <f t="shared" si="21"/>
        <v>#VALUE!</v>
      </c>
      <c r="X289" s="402" t="e">
        <f t="shared" si="22"/>
        <v>#VALUE!</v>
      </c>
      <c r="Y289" s="402" t="e">
        <f t="shared" si="23"/>
        <v>#VALUE!</v>
      </c>
      <c r="Z289" s="402" t="e">
        <f t="shared" si="24"/>
        <v>#VALUE!</v>
      </c>
      <c r="AA289" s="402" t="e">
        <f t="shared" si="25"/>
        <v>#VALUE!</v>
      </c>
      <c r="AB289" s="669" t="e">
        <f t="shared" si="26"/>
        <v>#VALUE!</v>
      </c>
      <c r="AC289" s="403"/>
    </row>
    <row r="290" spans="2:29" s="121" customFormat="1" outlineLevel="1">
      <c r="B290" s="1167"/>
      <c r="C290" s="1168"/>
      <c r="D290" s="1750" t="s">
        <v>290</v>
      </c>
      <c r="E290" s="1751"/>
      <c r="F290" s="1751"/>
      <c r="G290" s="1752"/>
      <c r="H290" s="835"/>
      <c r="I290" s="1327" t="e">
        <f t="shared" si="0"/>
        <v>#DIV/0!</v>
      </c>
      <c r="J290" s="736" t="s">
        <v>365</v>
      </c>
      <c r="K290" s="736" t="s">
        <v>365</v>
      </c>
      <c r="L290" s="1330" t="str">
        <f t="shared" si="16"/>
        <v>Non renseigné</v>
      </c>
      <c r="M290" s="736" t="str">
        <f t="shared" si="12"/>
        <v>-</v>
      </c>
      <c r="N290" s="822" t="e">
        <f t="shared" si="13"/>
        <v>#VALUE!</v>
      </c>
      <c r="O290" s="733" t="e">
        <f t="shared" si="27"/>
        <v>#VALUE!</v>
      </c>
      <c r="P290" s="822" t="e">
        <f t="shared" si="28"/>
        <v>#VALUE!</v>
      </c>
      <c r="Q290" s="823"/>
      <c r="R290" s="942"/>
      <c r="S290" s="402" t="e">
        <f t="shared" si="17"/>
        <v>#VALUE!</v>
      </c>
      <c r="T290" s="402" t="e">
        <f t="shared" si="18"/>
        <v>#VALUE!</v>
      </c>
      <c r="U290" s="402" t="e">
        <f t="shared" si="19"/>
        <v>#VALUE!</v>
      </c>
      <c r="V290" s="402" t="e">
        <f t="shared" si="20"/>
        <v>#VALUE!</v>
      </c>
      <c r="W290" s="402" t="e">
        <f t="shared" si="21"/>
        <v>#VALUE!</v>
      </c>
      <c r="X290" s="402" t="e">
        <f t="shared" si="22"/>
        <v>#VALUE!</v>
      </c>
      <c r="Y290" s="402" t="e">
        <f t="shared" si="23"/>
        <v>#VALUE!</v>
      </c>
      <c r="Z290" s="402" t="e">
        <f t="shared" si="24"/>
        <v>#VALUE!</v>
      </c>
      <c r="AA290" s="402" t="e">
        <f t="shared" si="25"/>
        <v>#VALUE!</v>
      </c>
      <c r="AB290" s="669" t="e">
        <f t="shared" si="26"/>
        <v>#VALUE!</v>
      </c>
      <c r="AC290" s="403"/>
    </row>
    <row r="291" spans="2:29" s="121" customFormat="1" outlineLevel="1">
      <c r="B291" s="1167"/>
      <c r="C291" s="1168"/>
      <c r="D291" s="1750" t="s">
        <v>290</v>
      </c>
      <c r="E291" s="1751"/>
      <c r="F291" s="1751"/>
      <c r="G291" s="1752"/>
      <c r="H291" s="835"/>
      <c r="I291" s="1327" t="e">
        <f t="shared" si="0"/>
        <v>#DIV/0!</v>
      </c>
      <c r="J291" s="736" t="s">
        <v>365</v>
      </c>
      <c r="K291" s="736" t="s">
        <v>365</v>
      </c>
      <c r="L291" s="1330" t="str">
        <f t="shared" si="16"/>
        <v>Non renseigné</v>
      </c>
      <c r="M291" s="736" t="str">
        <f t="shared" si="12"/>
        <v>-</v>
      </c>
      <c r="N291" s="822" t="e">
        <f t="shared" si="13"/>
        <v>#VALUE!</v>
      </c>
      <c r="O291" s="733" t="e">
        <f t="shared" si="27"/>
        <v>#VALUE!</v>
      </c>
      <c r="P291" s="822" t="e">
        <f t="shared" si="28"/>
        <v>#VALUE!</v>
      </c>
      <c r="Q291" s="823"/>
      <c r="R291" s="942"/>
      <c r="S291" s="402" t="e">
        <f t="shared" si="17"/>
        <v>#VALUE!</v>
      </c>
      <c r="T291" s="402" t="e">
        <f t="shared" si="18"/>
        <v>#VALUE!</v>
      </c>
      <c r="U291" s="402" t="e">
        <f t="shared" si="19"/>
        <v>#VALUE!</v>
      </c>
      <c r="V291" s="402" t="e">
        <f t="shared" si="20"/>
        <v>#VALUE!</v>
      </c>
      <c r="W291" s="402" t="e">
        <f t="shared" si="21"/>
        <v>#VALUE!</v>
      </c>
      <c r="X291" s="402" t="e">
        <f t="shared" si="22"/>
        <v>#VALUE!</v>
      </c>
      <c r="Y291" s="402" t="e">
        <f t="shared" si="23"/>
        <v>#VALUE!</v>
      </c>
      <c r="Z291" s="402" t="e">
        <f t="shared" si="24"/>
        <v>#VALUE!</v>
      </c>
      <c r="AA291" s="402" t="e">
        <f t="shared" si="25"/>
        <v>#VALUE!</v>
      </c>
      <c r="AB291" s="669" t="e">
        <f t="shared" si="26"/>
        <v>#VALUE!</v>
      </c>
      <c r="AC291" s="403"/>
    </row>
    <row r="292" spans="2:29" s="121" customFormat="1" outlineLevel="1">
      <c r="B292" s="1167"/>
      <c r="C292" s="1168"/>
      <c r="D292" s="1750" t="s">
        <v>290</v>
      </c>
      <c r="E292" s="1751"/>
      <c r="F292" s="1751"/>
      <c r="G292" s="1752"/>
      <c r="H292" s="835"/>
      <c r="I292" s="1327" t="e">
        <f t="shared" si="0"/>
        <v>#DIV/0!</v>
      </c>
      <c r="J292" s="736" t="s">
        <v>365</v>
      </c>
      <c r="K292" s="736" t="s">
        <v>365</v>
      </c>
      <c r="L292" s="1330" t="str">
        <f t="shared" si="16"/>
        <v>Non renseigné</v>
      </c>
      <c r="M292" s="736" t="str">
        <f t="shared" si="12"/>
        <v>-</v>
      </c>
      <c r="N292" s="822" t="e">
        <f t="shared" si="13"/>
        <v>#VALUE!</v>
      </c>
      <c r="O292" s="733" t="e">
        <f t="shared" si="27"/>
        <v>#VALUE!</v>
      </c>
      <c r="P292" s="822" t="e">
        <f t="shared" si="28"/>
        <v>#VALUE!</v>
      </c>
      <c r="Q292" s="823"/>
      <c r="R292" s="942"/>
      <c r="S292" s="402" t="e">
        <f t="shared" si="17"/>
        <v>#VALUE!</v>
      </c>
      <c r="T292" s="402" t="e">
        <f t="shared" si="18"/>
        <v>#VALUE!</v>
      </c>
      <c r="U292" s="402" t="e">
        <f t="shared" si="19"/>
        <v>#VALUE!</v>
      </c>
      <c r="V292" s="402" t="e">
        <f t="shared" si="20"/>
        <v>#VALUE!</v>
      </c>
      <c r="W292" s="402" t="e">
        <f t="shared" si="21"/>
        <v>#VALUE!</v>
      </c>
      <c r="X292" s="402" t="e">
        <f t="shared" si="22"/>
        <v>#VALUE!</v>
      </c>
      <c r="Y292" s="402" t="e">
        <f t="shared" si="23"/>
        <v>#VALUE!</v>
      </c>
      <c r="Z292" s="402" t="e">
        <f t="shared" si="24"/>
        <v>#VALUE!</v>
      </c>
      <c r="AA292" s="402" t="e">
        <f t="shared" si="25"/>
        <v>#VALUE!</v>
      </c>
      <c r="AB292" s="669" t="e">
        <f t="shared" si="26"/>
        <v>#VALUE!</v>
      </c>
      <c r="AC292" s="403"/>
    </row>
    <row r="293" spans="2:29" outlineLevel="1">
      <c r="B293" s="1167"/>
      <c r="C293" s="1168"/>
      <c r="D293" s="1750" t="s">
        <v>290</v>
      </c>
      <c r="E293" s="1751"/>
      <c r="F293" s="1751"/>
      <c r="G293" s="1752"/>
      <c r="H293" s="835"/>
      <c r="I293" s="1327" t="e">
        <f t="shared" si="0"/>
        <v>#DIV/0!</v>
      </c>
      <c r="J293" s="736" t="s">
        <v>365</v>
      </c>
      <c r="K293" s="736" t="s">
        <v>365</v>
      </c>
      <c r="L293" s="1330" t="str">
        <f t="shared" si="16"/>
        <v>Non renseigné</v>
      </c>
      <c r="M293" s="736" t="str">
        <f t="shared" si="12"/>
        <v>-</v>
      </c>
      <c r="N293" s="822" t="e">
        <f t="shared" si="13"/>
        <v>#VALUE!</v>
      </c>
      <c r="O293" s="733" t="e">
        <f t="shared" si="27"/>
        <v>#VALUE!</v>
      </c>
      <c r="P293" s="822" t="e">
        <f t="shared" si="28"/>
        <v>#VALUE!</v>
      </c>
      <c r="Q293" s="823"/>
      <c r="R293" s="942"/>
      <c r="S293" s="402" t="e">
        <f t="shared" si="17"/>
        <v>#VALUE!</v>
      </c>
      <c r="T293" s="402" t="e">
        <f t="shared" si="18"/>
        <v>#VALUE!</v>
      </c>
      <c r="U293" s="402" t="e">
        <f t="shared" si="19"/>
        <v>#VALUE!</v>
      </c>
      <c r="V293" s="402" t="e">
        <f t="shared" si="20"/>
        <v>#VALUE!</v>
      </c>
      <c r="W293" s="402" t="e">
        <f t="shared" si="21"/>
        <v>#VALUE!</v>
      </c>
      <c r="X293" s="402" t="e">
        <f t="shared" si="22"/>
        <v>#VALUE!</v>
      </c>
      <c r="Y293" s="402" t="e">
        <f t="shared" si="23"/>
        <v>#VALUE!</v>
      </c>
      <c r="Z293" s="402" t="e">
        <f t="shared" si="24"/>
        <v>#VALUE!</v>
      </c>
      <c r="AA293" s="402" t="e">
        <f t="shared" si="25"/>
        <v>#VALUE!</v>
      </c>
      <c r="AB293" s="669" t="e">
        <f t="shared" si="26"/>
        <v>#VALUE!</v>
      </c>
    </row>
    <row r="294" spans="2:29" s="121" customFormat="1" outlineLevel="1">
      <c r="B294" s="1167"/>
      <c r="C294" s="1168"/>
      <c r="D294" s="1750" t="s">
        <v>290</v>
      </c>
      <c r="E294" s="1751"/>
      <c r="F294" s="1751"/>
      <c r="G294" s="1752"/>
      <c r="H294" s="835"/>
      <c r="I294" s="1327" t="e">
        <f t="shared" si="0"/>
        <v>#DIV/0!</v>
      </c>
      <c r="J294" s="736" t="s">
        <v>365</v>
      </c>
      <c r="K294" s="736" t="s">
        <v>365</v>
      </c>
      <c r="L294" s="1330" t="str">
        <f t="shared" si="16"/>
        <v>Non renseigné</v>
      </c>
      <c r="M294" s="736" t="str">
        <f t="shared" si="12"/>
        <v>-</v>
      </c>
      <c r="N294" s="822" t="e">
        <f t="shared" si="13"/>
        <v>#VALUE!</v>
      </c>
      <c r="O294" s="733" t="e">
        <f t="shared" si="27"/>
        <v>#VALUE!</v>
      </c>
      <c r="P294" s="822" t="e">
        <f t="shared" si="28"/>
        <v>#VALUE!</v>
      </c>
      <c r="Q294" s="823"/>
      <c r="R294" s="942"/>
      <c r="S294" s="402" t="e">
        <f t="shared" si="17"/>
        <v>#VALUE!</v>
      </c>
      <c r="T294" s="402" t="e">
        <f t="shared" si="18"/>
        <v>#VALUE!</v>
      </c>
      <c r="U294" s="402" t="e">
        <f t="shared" si="19"/>
        <v>#VALUE!</v>
      </c>
      <c r="V294" s="402" t="e">
        <f t="shared" si="20"/>
        <v>#VALUE!</v>
      </c>
      <c r="W294" s="402" t="e">
        <f t="shared" si="21"/>
        <v>#VALUE!</v>
      </c>
      <c r="X294" s="402" t="e">
        <f t="shared" si="22"/>
        <v>#VALUE!</v>
      </c>
      <c r="Y294" s="402" t="e">
        <f t="shared" si="23"/>
        <v>#VALUE!</v>
      </c>
      <c r="Z294" s="402" t="e">
        <f t="shared" si="24"/>
        <v>#VALUE!</v>
      </c>
      <c r="AA294" s="402" t="e">
        <f t="shared" si="25"/>
        <v>#VALUE!</v>
      </c>
      <c r="AB294" s="669" t="e">
        <f t="shared" si="26"/>
        <v>#VALUE!</v>
      </c>
      <c r="AC294" s="403"/>
    </row>
    <row r="295" spans="2:29" s="121" customFormat="1" outlineLevel="1">
      <c r="B295" s="1167"/>
      <c r="C295" s="1168"/>
      <c r="D295" s="1750" t="s">
        <v>290</v>
      </c>
      <c r="E295" s="1751"/>
      <c r="F295" s="1751"/>
      <c r="G295" s="1752"/>
      <c r="H295" s="835"/>
      <c r="I295" s="1327" t="e">
        <f t="shared" si="0"/>
        <v>#DIV/0!</v>
      </c>
      <c r="J295" s="736" t="s">
        <v>365</v>
      </c>
      <c r="K295" s="736" t="s">
        <v>365</v>
      </c>
      <c r="L295" s="1330" t="str">
        <f t="shared" si="16"/>
        <v>Non renseigné</v>
      </c>
      <c r="M295" s="736" t="str">
        <f t="shared" si="12"/>
        <v>-</v>
      </c>
      <c r="N295" s="822" t="e">
        <f t="shared" si="13"/>
        <v>#VALUE!</v>
      </c>
      <c r="O295" s="733" t="e">
        <f t="shared" si="27"/>
        <v>#VALUE!</v>
      </c>
      <c r="P295" s="822" t="e">
        <f t="shared" si="28"/>
        <v>#VALUE!</v>
      </c>
      <c r="Q295" s="823"/>
      <c r="R295" s="942"/>
      <c r="S295" s="402" t="e">
        <f t="shared" si="17"/>
        <v>#VALUE!</v>
      </c>
      <c r="T295" s="402" t="e">
        <f t="shared" si="18"/>
        <v>#VALUE!</v>
      </c>
      <c r="U295" s="402" t="e">
        <f t="shared" si="19"/>
        <v>#VALUE!</v>
      </c>
      <c r="V295" s="402" t="e">
        <f t="shared" si="20"/>
        <v>#VALUE!</v>
      </c>
      <c r="W295" s="402" t="e">
        <f t="shared" si="21"/>
        <v>#VALUE!</v>
      </c>
      <c r="X295" s="402" t="e">
        <f t="shared" si="22"/>
        <v>#VALUE!</v>
      </c>
      <c r="Y295" s="402" t="e">
        <f t="shared" si="23"/>
        <v>#VALUE!</v>
      </c>
      <c r="Z295" s="402" t="e">
        <f t="shared" si="24"/>
        <v>#VALUE!</v>
      </c>
      <c r="AA295" s="402" t="e">
        <f t="shared" si="25"/>
        <v>#VALUE!</v>
      </c>
      <c r="AB295" s="669" t="e">
        <f t="shared" si="26"/>
        <v>#VALUE!</v>
      </c>
      <c r="AC295" s="403"/>
    </row>
    <row r="296" spans="2:29" s="121" customFormat="1" outlineLevel="1">
      <c r="B296" s="1167"/>
      <c r="C296" s="1168"/>
      <c r="D296" s="1750" t="s">
        <v>290</v>
      </c>
      <c r="E296" s="1751"/>
      <c r="F296" s="1751"/>
      <c r="G296" s="1752"/>
      <c r="H296" s="835"/>
      <c r="I296" s="1327" t="e">
        <f t="shared" si="0"/>
        <v>#DIV/0!</v>
      </c>
      <c r="J296" s="736" t="s">
        <v>365</v>
      </c>
      <c r="K296" s="736" t="s">
        <v>365</v>
      </c>
      <c r="L296" s="1330" t="str">
        <f t="shared" si="16"/>
        <v>Non renseigné</v>
      </c>
      <c r="M296" s="736" t="str">
        <f t="shared" si="12"/>
        <v>-</v>
      </c>
      <c r="N296" s="822" t="e">
        <f t="shared" si="13"/>
        <v>#VALUE!</v>
      </c>
      <c r="O296" s="733" t="e">
        <f t="shared" si="27"/>
        <v>#VALUE!</v>
      </c>
      <c r="P296" s="822" t="e">
        <f t="shared" si="28"/>
        <v>#VALUE!</v>
      </c>
      <c r="Q296" s="823"/>
      <c r="R296" s="942"/>
      <c r="S296" s="402" t="e">
        <f t="shared" si="17"/>
        <v>#VALUE!</v>
      </c>
      <c r="T296" s="402" t="e">
        <f t="shared" si="18"/>
        <v>#VALUE!</v>
      </c>
      <c r="U296" s="402" t="e">
        <f t="shared" si="19"/>
        <v>#VALUE!</v>
      </c>
      <c r="V296" s="402" t="e">
        <f t="shared" si="20"/>
        <v>#VALUE!</v>
      </c>
      <c r="W296" s="402" t="e">
        <f t="shared" si="21"/>
        <v>#VALUE!</v>
      </c>
      <c r="X296" s="402" t="e">
        <f t="shared" si="22"/>
        <v>#VALUE!</v>
      </c>
      <c r="Y296" s="402" t="e">
        <f t="shared" si="23"/>
        <v>#VALUE!</v>
      </c>
      <c r="Z296" s="402" t="e">
        <f t="shared" si="24"/>
        <v>#VALUE!</v>
      </c>
      <c r="AA296" s="402" t="e">
        <f t="shared" si="25"/>
        <v>#VALUE!</v>
      </c>
      <c r="AB296" s="669" t="e">
        <f t="shared" si="26"/>
        <v>#VALUE!</v>
      </c>
      <c r="AC296" s="403"/>
    </row>
    <row r="297" spans="2:29" s="121" customFormat="1" outlineLevel="1">
      <c r="B297" s="1167"/>
      <c r="C297" s="1168"/>
      <c r="D297" s="1750" t="s">
        <v>290</v>
      </c>
      <c r="E297" s="1751"/>
      <c r="F297" s="1751"/>
      <c r="G297" s="1752"/>
      <c r="H297" s="835"/>
      <c r="I297" s="1327" t="e">
        <f t="shared" si="0"/>
        <v>#DIV/0!</v>
      </c>
      <c r="J297" s="736" t="s">
        <v>365</v>
      </c>
      <c r="K297" s="736" t="s">
        <v>365</v>
      </c>
      <c r="L297" s="1330" t="str">
        <f t="shared" si="16"/>
        <v>Non renseigné</v>
      </c>
      <c r="M297" s="736" t="str">
        <f t="shared" si="12"/>
        <v>-</v>
      </c>
      <c r="N297" s="822" t="e">
        <f t="shared" si="13"/>
        <v>#VALUE!</v>
      </c>
      <c r="O297" s="733" t="e">
        <f t="shared" si="27"/>
        <v>#VALUE!</v>
      </c>
      <c r="P297" s="822" t="e">
        <f t="shared" si="28"/>
        <v>#VALUE!</v>
      </c>
      <c r="Q297" s="823"/>
      <c r="R297" s="942"/>
      <c r="S297" s="402" t="e">
        <f t="shared" si="17"/>
        <v>#VALUE!</v>
      </c>
      <c r="T297" s="402" t="e">
        <f t="shared" si="18"/>
        <v>#VALUE!</v>
      </c>
      <c r="U297" s="402" t="e">
        <f t="shared" si="19"/>
        <v>#VALUE!</v>
      </c>
      <c r="V297" s="402" t="e">
        <f t="shared" si="20"/>
        <v>#VALUE!</v>
      </c>
      <c r="W297" s="402" t="e">
        <f t="shared" si="21"/>
        <v>#VALUE!</v>
      </c>
      <c r="X297" s="402" t="e">
        <f t="shared" si="22"/>
        <v>#VALUE!</v>
      </c>
      <c r="Y297" s="402" t="e">
        <f t="shared" si="23"/>
        <v>#VALUE!</v>
      </c>
      <c r="Z297" s="402" t="e">
        <f t="shared" si="24"/>
        <v>#VALUE!</v>
      </c>
      <c r="AA297" s="402" t="e">
        <f t="shared" si="25"/>
        <v>#VALUE!</v>
      </c>
      <c r="AB297" s="669" t="e">
        <f t="shared" si="26"/>
        <v>#VALUE!</v>
      </c>
      <c r="AC297" s="403"/>
    </row>
    <row r="298" spans="2:29" s="121" customFormat="1" outlineLevel="1">
      <c r="B298" s="1167"/>
      <c r="C298" s="1168"/>
      <c r="D298" s="1750" t="s">
        <v>290</v>
      </c>
      <c r="E298" s="1751"/>
      <c r="F298" s="1751"/>
      <c r="G298" s="1752"/>
      <c r="H298" s="835"/>
      <c r="I298" s="1327" t="e">
        <f t="shared" si="0"/>
        <v>#DIV/0!</v>
      </c>
      <c r="J298" s="736" t="s">
        <v>365</v>
      </c>
      <c r="K298" s="736" t="s">
        <v>365</v>
      </c>
      <c r="L298" s="1330" t="str">
        <f t="shared" si="16"/>
        <v>Non renseigné</v>
      </c>
      <c r="M298" s="736" t="str">
        <f t="shared" si="12"/>
        <v>-</v>
      </c>
      <c r="N298" s="822" t="e">
        <f t="shared" si="13"/>
        <v>#VALUE!</v>
      </c>
      <c r="O298" s="733" t="e">
        <f t="shared" si="27"/>
        <v>#VALUE!</v>
      </c>
      <c r="P298" s="822" t="e">
        <f t="shared" si="28"/>
        <v>#VALUE!</v>
      </c>
      <c r="Q298" s="823"/>
      <c r="R298" s="942"/>
      <c r="S298" s="402" t="e">
        <f t="shared" si="17"/>
        <v>#VALUE!</v>
      </c>
      <c r="T298" s="402" t="e">
        <f t="shared" si="18"/>
        <v>#VALUE!</v>
      </c>
      <c r="U298" s="402" t="e">
        <f t="shared" si="19"/>
        <v>#VALUE!</v>
      </c>
      <c r="V298" s="402" t="e">
        <f t="shared" si="20"/>
        <v>#VALUE!</v>
      </c>
      <c r="W298" s="402" t="e">
        <f t="shared" si="21"/>
        <v>#VALUE!</v>
      </c>
      <c r="X298" s="402" t="e">
        <f t="shared" si="22"/>
        <v>#VALUE!</v>
      </c>
      <c r="Y298" s="402" t="e">
        <f t="shared" si="23"/>
        <v>#VALUE!</v>
      </c>
      <c r="Z298" s="402" t="e">
        <f t="shared" si="24"/>
        <v>#VALUE!</v>
      </c>
      <c r="AA298" s="402" t="e">
        <f t="shared" si="25"/>
        <v>#VALUE!</v>
      </c>
      <c r="AB298" s="669" t="e">
        <f t="shared" si="26"/>
        <v>#VALUE!</v>
      </c>
      <c r="AC298" s="403"/>
    </row>
    <row r="299" spans="2:29" s="121" customFormat="1" outlineLevel="1">
      <c r="B299" s="1167"/>
      <c r="C299" s="1168"/>
      <c r="D299" s="1750" t="s">
        <v>290</v>
      </c>
      <c r="E299" s="1751"/>
      <c r="F299" s="1751"/>
      <c r="G299" s="1752"/>
      <c r="H299" s="835"/>
      <c r="I299" s="1327" t="e">
        <f t="shared" si="0"/>
        <v>#DIV/0!</v>
      </c>
      <c r="J299" s="736" t="s">
        <v>365</v>
      </c>
      <c r="K299" s="736" t="s">
        <v>365</v>
      </c>
      <c r="L299" s="1330" t="str">
        <f t="shared" si="16"/>
        <v>Non renseigné</v>
      </c>
      <c r="M299" s="736" t="str">
        <f t="shared" si="12"/>
        <v>-</v>
      </c>
      <c r="N299" s="822" t="e">
        <f t="shared" si="13"/>
        <v>#VALUE!</v>
      </c>
      <c r="O299" s="733" t="e">
        <f t="shared" si="27"/>
        <v>#VALUE!</v>
      </c>
      <c r="P299" s="822" t="e">
        <f t="shared" si="28"/>
        <v>#VALUE!</v>
      </c>
      <c r="Q299" s="823"/>
      <c r="R299" s="942"/>
      <c r="S299" s="402" t="e">
        <f t="shared" si="17"/>
        <v>#VALUE!</v>
      </c>
      <c r="T299" s="402" t="e">
        <f t="shared" si="18"/>
        <v>#VALUE!</v>
      </c>
      <c r="U299" s="402" t="e">
        <f t="shared" si="19"/>
        <v>#VALUE!</v>
      </c>
      <c r="V299" s="402" t="e">
        <f t="shared" si="20"/>
        <v>#VALUE!</v>
      </c>
      <c r="W299" s="402" t="e">
        <f t="shared" si="21"/>
        <v>#VALUE!</v>
      </c>
      <c r="X299" s="402" t="e">
        <f t="shared" si="22"/>
        <v>#VALUE!</v>
      </c>
      <c r="Y299" s="402" t="e">
        <f t="shared" si="23"/>
        <v>#VALUE!</v>
      </c>
      <c r="Z299" s="402" t="e">
        <f t="shared" si="24"/>
        <v>#VALUE!</v>
      </c>
      <c r="AA299" s="402" t="e">
        <f t="shared" si="25"/>
        <v>#VALUE!</v>
      </c>
      <c r="AB299" s="669" t="e">
        <f t="shared" si="26"/>
        <v>#VALUE!</v>
      </c>
      <c r="AC299" s="403"/>
    </row>
    <row r="300" spans="2:29" s="121" customFormat="1" outlineLevel="1">
      <c r="B300" s="1167"/>
      <c r="C300" s="1168"/>
      <c r="D300" s="1750" t="s">
        <v>290</v>
      </c>
      <c r="E300" s="1751"/>
      <c r="F300" s="1751"/>
      <c r="G300" s="1752"/>
      <c r="H300" s="835"/>
      <c r="I300" s="1327" t="e">
        <f t="shared" si="0"/>
        <v>#DIV/0!</v>
      </c>
      <c r="J300" s="736" t="s">
        <v>365</v>
      </c>
      <c r="K300" s="736" t="s">
        <v>365</v>
      </c>
      <c r="L300" s="1330" t="str">
        <f t="shared" si="16"/>
        <v>Non renseigné</v>
      </c>
      <c r="M300" s="736" t="str">
        <f t="shared" si="12"/>
        <v>-</v>
      </c>
      <c r="N300" s="822" t="e">
        <f t="shared" si="13"/>
        <v>#VALUE!</v>
      </c>
      <c r="O300" s="733" t="e">
        <f t="shared" si="27"/>
        <v>#VALUE!</v>
      </c>
      <c r="P300" s="822" t="e">
        <f t="shared" si="28"/>
        <v>#VALUE!</v>
      </c>
      <c r="Q300" s="823"/>
      <c r="R300" s="942"/>
      <c r="S300" s="402" t="e">
        <f t="shared" si="17"/>
        <v>#VALUE!</v>
      </c>
      <c r="T300" s="402" t="e">
        <f t="shared" si="18"/>
        <v>#VALUE!</v>
      </c>
      <c r="U300" s="402" t="e">
        <f t="shared" si="19"/>
        <v>#VALUE!</v>
      </c>
      <c r="V300" s="402" t="e">
        <f t="shared" si="20"/>
        <v>#VALUE!</v>
      </c>
      <c r="W300" s="402" t="e">
        <f t="shared" si="21"/>
        <v>#VALUE!</v>
      </c>
      <c r="X300" s="402" t="e">
        <f t="shared" si="22"/>
        <v>#VALUE!</v>
      </c>
      <c r="Y300" s="402" t="e">
        <f t="shared" si="23"/>
        <v>#VALUE!</v>
      </c>
      <c r="Z300" s="402" t="e">
        <f t="shared" si="24"/>
        <v>#VALUE!</v>
      </c>
      <c r="AA300" s="402" t="e">
        <f t="shared" si="25"/>
        <v>#VALUE!</v>
      </c>
      <c r="AB300" s="669" t="e">
        <f t="shared" si="26"/>
        <v>#VALUE!</v>
      </c>
      <c r="AC300" s="403"/>
    </row>
    <row r="301" spans="2:29" s="121" customFormat="1" outlineLevel="1">
      <c r="B301" s="1167"/>
      <c r="C301" s="1168"/>
      <c r="D301" s="1750" t="s">
        <v>290</v>
      </c>
      <c r="E301" s="1751"/>
      <c r="F301" s="1751"/>
      <c r="G301" s="1752"/>
      <c r="H301" s="835"/>
      <c r="I301" s="1327" t="e">
        <f t="shared" si="0"/>
        <v>#DIV/0!</v>
      </c>
      <c r="J301" s="736" t="s">
        <v>365</v>
      </c>
      <c r="K301" s="736" t="s">
        <v>365</v>
      </c>
      <c r="L301" s="1330" t="str">
        <f t="shared" si="16"/>
        <v>Non renseigné</v>
      </c>
      <c r="M301" s="736" t="str">
        <f t="shared" si="12"/>
        <v>-</v>
      </c>
      <c r="N301" s="822" t="e">
        <f t="shared" si="13"/>
        <v>#VALUE!</v>
      </c>
      <c r="O301" s="733" t="e">
        <f t="shared" si="27"/>
        <v>#VALUE!</v>
      </c>
      <c r="P301" s="822" t="e">
        <f t="shared" si="28"/>
        <v>#VALUE!</v>
      </c>
      <c r="Q301" s="823"/>
      <c r="R301" s="942"/>
      <c r="S301" s="402" t="e">
        <f t="shared" si="17"/>
        <v>#VALUE!</v>
      </c>
      <c r="T301" s="402" t="e">
        <f t="shared" si="18"/>
        <v>#VALUE!</v>
      </c>
      <c r="U301" s="402" t="e">
        <f t="shared" si="19"/>
        <v>#VALUE!</v>
      </c>
      <c r="V301" s="402" t="e">
        <f t="shared" si="20"/>
        <v>#VALUE!</v>
      </c>
      <c r="W301" s="402" t="e">
        <f t="shared" si="21"/>
        <v>#VALUE!</v>
      </c>
      <c r="X301" s="402" t="e">
        <f t="shared" si="22"/>
        <v>#VALUE!</v>
      </c>
      <c r="Y301" s="402" t="e">
        <f t="shared" si="23"/>
        <v>#VALUE!</v>
      </c>
      <c r="Z301" s="402" t="e">
        <f t="shared" si="24"/>
        <v>#VALUE!</v>
      </c>
      <c r="AA301" s="402" t="e">
        <f t="shared" si="25"/>
        <v>#VALUE!</v>
      </c>
      <c r="AB301" s="669" t="e">
        <f t="shared" si="26"/>
        <v>#VALUE!</v>
      </c>
      <c r="AC301" s="403"/>
    </row>
    <row r="302" spans="2:29" s="121" customFormat="1" outlineLevel="1">
      <c r="B302" s="1167"/>
      <c r="C302" s="1168"/>
      <c r="D302" s="1750" t="s">
        <v>290</v>
      </c>
      <c r="E302" s="1751"/>
      <c r="F302" s="1751"/>
      <c r="G302" s="1752"/>
      <c r="H302" s="835"/>
      <c r="I302" s="1327" t="e">
        <f t="shared" si="0"/>
        <v>#DIV/0!</v>
      </c>
      <c r="J302" s="736" t="s">
        <v>365</v>
      </c>
      <c r="K302" s="736" t="s">
        <v>365</v>
      </c>
      <c r="L302" s="1330" t="str">
        <f t="shared" si="16"/>
        <v>Non renseigné</v>
      </c>
      <c r="M302" s="736" t="str">
        <f t="shared" si="12"/>
        <v>-</v>
      </c>
      <c r="N302" s="822" t="e">
        <f t="shared" si="13"/>
        <v>#VALUE!</v>
      </c>
      <c r="O302" s="733" t="e">
        <f t="shared" si="27"/>
        <v>#VALUE!</v>
      </c>
      <c r="P302" s="822" t="e">
        <f t="shared" si="28"/>
        <v>#VALUE!</v>
      </c>
      <c r="Q302" s="823"/>
      <c r="R302" s="942"/>
      <c r="S302" s="402" t="e">
        <f t="shared" si="17"/>
        <v>#VALUE!</v>
      </c>
      <c r="T302" s="402" t="e">
        <f t="shared" si="18"/>
        <v>#VALUE!</v>
      </c>
      <c r="U302" s="402" t="e">
        <f t="shared" si="19"/>
        <v>#VALUE!</v>
      </c>
      <c r="V302" s="402" t="e">
        <f t="shared" si="20"/>
        <v>#VALUE!</v>
      </c>
      <c r="W302" s="402" t="e">
        <f t="shared" si="21"/>
        <v>#VALUE!</v>
      </c>
      <c r="X302" s="402" t="e">
        <f t="shared" si="22"/>
        <v>#VALUE!</v>
      </c>
      <c r="Y302" s="402" t="e">
        <f t="shared" si="23"/>
        <v>#VALUE!</v>
      </c>
      <c r="Z302" s="402" t="e">
        <f t="shared" si="24"/>
        <v>#VALUE!</v>
      </c>
      <c r="AA302" s="402" t="e">
        <f t="shared" si="25"/>
        <v>#VALUE!</v>
      </c>
      <c r="AB302" s="669" t="e">
        <f t="shared" si="26"/>
        <v>#VALUE!</v>
      </c>
      <c r="AC302" s="403"/>
    </row>
    <row r="303" spans="2:29" outlineLevel="1">
      <c r="B303" s="1167"/>
      <c r="C303" s="1168"/>
      <c r="D303" s="1750" t="s">
        <v>290</v>
      </c>
      <c r="E303" s="1751"/>
      <c r="F303" s="1751"/>
      <c r="G303" s="1752"/>
      <c r="H303" s="835"/>
      <c r="I303" s="1327" t="e">
        <f t="shared" si="0"/>
        <v>#DIV/0!</v>
      </c>
      <c r="J303" s="736" t="s">
        <v>365</v>
      </c>
      <c r="K303" s="736" t="s">
        <v>365</v>
      </c>
      <c r="L303" s="1330" t="str">
        <f t="shared" si="16"/>
        <v>Non renseigné</v>
      </c>
      <c r="M303" s="736" t="str">
        <f t="shared" si="12"/>
        <v>-</v>
      </c>
      <c r="N303" s="822" t="e">
        <f t="shared" si="13"/>
        <v>#VALUE!</v>
      </c>
      <c r="O303" s="733" t="e">
        <f t="shared" si="27"/>
        <v>#VALUE!</v>
      </c>
      <c r="P303" s="822" t="e">
        <f t="shared" si="28"/>
        <v>#VALUE!</v>
      </c>
      <c r="Q303" s="823"/>
      <c r="R303" s="942"/>
      <c r="S303" s="402" t="e">
        <f t="shared" si="17"/>
        <v>#VALUE!</v>
      </c>
      <c r="T303" s="402" t="e">
        <f t="shared" si="18"/>
        <v>#VALUE!</v>
      </c>
      <c r="U303" s="402" t="e">
        <f t="shared" si="19"/>
        <v>#VALUE!</v>
      </c>
      <c r="V303" s="402" t="e">
        <f t="shared" si="20"/>
        <v>#VALUE!</v>
      </c>
      <c r="W303" s="402" t="e">
        <f t="shared" si="21"/>
        <v>#VALUE!</v>
      </c>
      <c r="X303" s="402" t="e">
        <f t="shared" si="22"/>
        <v>#VALUE!</v>
      </c>
      <c r="Y303" s="402" t="e">
        <f t="shared" si="23"/>
        <v>#VALUE!</v>
      </c>
      <c r="Z303" s="402" t="e">
        <f t="shared" si="24"/>
        <v>#VALUE!</v>
      </c>
      <c r="AA303" s="402" t="e">
        <f t="shared" si="25"/>
        <v>#VALUE!</v>
      </c>
      <c r="AB303" s="669" t="e">
        <f t="shared" si="26"/>
        <v>#VALUE!</v>
      </c>
    </row>
    <row r="304" spans="2:29" s="121" customFormat="1" outlineLevel="1">
      <c r="B304" s="1167"/>
      <c r="C304" s="1168"/>
      <c r="D304" s="1750" t="s">
        <v>290</v>
      </c>
      <c r="E304" s="1751"/>
      <c r="F304" s="1751"/>
      <c r="G304" s="1752"/>
      <c r="H304" s="835"/>
      <c r="I304" s="1327" t="e">
        <f t="shared" si="0"/>
        <v>#DIV/0!</v>
      </c>
      <c r="J304" s="736" t="s">
        <v>365</v>
      </c>
      <c r="K304" s="736" t="s">
        <v>365</v>
      </c>
      <c r="L304" s="1330" t="str">
        <f t="shared" si="16"/>
        <v>Non renseigné</v>
      </c>
      <c r="M304" s="736" t="str">
        <f t="shared" si="12"/>
        <v>-</v>
      </c>
      <c r="N304" s="822" t="e">
        <f t="shared" si="13"/>
        <v>#VALUE!</v>
      </c>
      <c r="O304" s="733" t="e">
        <f t="shared" si="27"/>
        <v>#VALUE!</v>
      </c>
      <c r="P304" s="822" t="e">
        <f t="shared" si="28"/>
        <v>#VALUE!</v>
      </c>
      <c r="Q304" s="823"/>
      <c r="R304" s="942"/>
      <c r="S304" s="402" t="e">
        <f t="shared" si="17"/>
        <v>#VALUE!</v>
      </c>
      <c r="T304" s="402" t="e">
        <f t="shared" si="18"/>
        <v>#VALUE!</v>
      </c>
      <c r="U304" s="402" t="e">
        <f t="shared" si="19"/>
        <v>#VALUE!</v>
      </c>
      <c r="V304" s="402" t="e">
        <f t="shared" si="20"/>
        <v>#VALUE!</v>
      </c>
      <c r="W304" s="402" t="e">
        <f t="shared" si="21"/>
        <v>#VALUE!</v>
      </c>
      <c r="X304" s="402" t="e">
        <f t="shared" si="22"/>
        <v>#VALUE!</v>
      </c>
      <c r="Y304" s="402" t="e">
        <f t="shared" si="23"/>
        <v>#VALUE!</v>
      </c>
      <c r="Z304" s="402" t="e">
        <f t="shared" si="24"/>
        <v>#VALUE!</v>
      </c>
      <c r="AA304" s="402" t="e">
        <f t="shared" si="25"/>
        <v>#VALUE!</v>
      </c>
      <c r="AB304" s="669" t="e">
        <f t="shared" si="26"/>
        <v>#VALUE!</v>
      </c>
      <c r="AC304" s="403"/>
    </row>
    <row r="305" spans="2:29" s="121" customFormat="1" outlineLevel="1">
      <c r="B305" s="1167"/>
      <c r="C305" s="1168"/>
      <c r="D305" s="1750" t="s">
        <v>290</v>
      </c>
      <c r="E305" s="1751"/>
      <c r="F305" s="1751"/>
      <c r="G305" s="1752"/>
      <c r="H305" s="835"/>
      <c r="I305" s="1327" t="e">
        <f t="shared" si="0"/>
        <v>#DIV/0!</v>
      </c>
      <c r="J305" s="736" t="s">
        <v>365</v>
      </c>
      <c r="K305" s="736" t="s">
        <v>365</v>
      </c>
      <c r="L305" s="1330" t="str">
        <f t="shared" si="16"/>
        <v>Non renseigné</v>
      </c>
      <c r="M305" s="736" t="str">
        <f t="shared" si="12"/>
        <v>-</v>
      </c>
      <c r="N305" s="822" t="e">
        <f t="shared" si="13"/>
        <v>#VALUE!</v>
      </c>
      <c r="O305" s="733" t="e">
        <f t="shared" si="27"/>
        <v>#VALUE!</v>
      </c>
      <c r="P305" s="822" t="e">
        <f t="shared" si="28"/>
        <v>#VALUE!</v>
      </c>
      <c r="Q305" s="823"/>
      <c r="R305" s="942"/>
      <c r="S305" s="402" t="e">
        <f t="shared" si="17"/>
        <v>#VALUE!</v>
      </c>
      <c r="T305" s="402" t="e">
        <f t="shared" si="18"/>
        <v>#VALUE!</v>
      </c>
      <c r="U305" s="402" t="e">
        <f t="shared" si="19"/>
        <v>#VALUE!</v>
      </c>
      <c r="V305" s="402" t="e">
        <f t="shared" si="20"/>
        <v>#VALUE!</v>
      </c>
      <c r="W305" s="402" t="e">
        <f t="shared" si="21"/>
        <v>#VALUE!</v>
      </c>
      <c r="X305" s="402" t="e">
        <f t="shared" si="22"/>
        <v>#VALUE!</v>
      </c>
      <c r="Y305" s="402" t="e">
        <f t="shared" si="23"/>
        <v>#VALUE!</v>
      </c>
      <c r="Z305" s="402" t="e">
        <f t="shared" si="24"/>
        <v>#VALUE!</v>
      </c>
      <c r="AA305" s="402" t="e">
        <f t="shared" si="25"/>
        <v>#VALUE!</v>
      </c>
      <c r="AB305" s="669" t="e">
        <f t="shared" si="26"/>
        <v>#VALUE!</v>
      </c>
      <c r="AC305" s="403"/>
    </row>
    <row r="306" spans="2:29" s="121" customFormat="1" outlineLevel="1">
      <c r="B306" s="1167"/>
      <c r="C306" s="1168"/>
      <c r="D306" s="1750" t="s">
        <v>290</v>
      </c>
      <c r="E306" s="1751"/>
      <c r="F306" s="1751"/>
      <c r="G306" s="1752"/>
      <c r="H306" s="835"/>
      <c r="I306" s="1327" t="e">
        <f t="shared" si="0"/>
        <v>#DIV/0!</v>
      </c>
      <c r="J306" s="736" t="s">
        <v>365</v>
      </c>
      <c r="K306" s="736" t="s">
        <v>365</v>
      </c>
      <c r="L306" s="1330" t="str">
        <f t="shared" si="16"/>
        <v>Non renseigné</v>
      </c>
      <c r="M306" s="736" t="str">
        <f t="shared" si="12"/>
        <v>-</v>
      </c>
      <c r="N306" s="822" t="e">
        <f t="shared" si="13"/>
        <v>#VALUE!</v>
      </c>
      <c r="O306" s="733" t="e">
        <f t="shared" si="27"/>
        <v>#VALUE!</v>
      </c>
      <c r="P306" s="822" t="e">
        <f t="shared" si="28"/>
        <v>#VALUE!</v>
      </c>
      <c r="Q306" s="823"/>
      <c r="R306" s="942"/>
      <c r="S306" s="402" t="e">
        <f t="shared" si="17"/>
        <v>#VALUE!</v>
      </c>
      <c r="T306" s="402" t="e">
        <f t="shared" si="18"/>
        <v>#VALUE!</v>
      </c>
      <c r="U306" s="402" t="e">
        <f t="shared" si="19"/>
        <v>#VALUE!</v>
      </c>
      <c r="V306" s="402" t="e">
        <f t="shared" si="20"/>
        <v>#VALUE!</v>
      </c>
      <c r="W306" s="402" t="e">
        <f t="shared" si="21"/>
        <v>#VALUE!</v>
      </c>
      <c r="X306" s="402" t="e">
        <f t="shared" si="22"/>
        <v>#VALUE!</v>
      </c>
      <c r="Y306" s="402" t="e">
        <f t="shared" si="23"/>
        <v>#VALUE!</v>
      </c>
      <c r="Z306" s="402" t="e">
        <f t="shared" si="24"/>
        <v>#VALUE!</v>
      </c>
      <c r="AA306" s="402" t="e">
        <f t="shared" si="25"/>
        <v>#VALUE!</v>
      </c>
      <c r="AB306" s="669" t="e">
        <f t="shared" si="26"/>
        <v>#VALUE!</v>
      </c>
      <c r="AC306" s="403"/>
    </row>
    <row r="307" spans="2:29" s="121" customFormat="1" outlineLevel="1">
      <c r="B307" s="1167"/>
      <c r="C307" s="1168"/>
      <c r="D307" s="1750" t="s">
        <v>290</v>
      </c>
      <c r="E307" s="1751"/>
      <c r="F307" s="1751"/>
      <c r="G307" s="1752"/>
      <c r="H307" s="835"/>
      <c r="I307" s="1327" t="e">
        <f t="shared" si="0"/>
        <v>#DIV/0!</v>
      </c>
      <c r="J307" s="736" t="s">
        <v>365</v>
      </c>
      <c r="K307" s="736" t="s">
        <v>365</v>
      </c>
      <c r="L307" s="1330" t="str">
        <f t="shared" si="16"/>
        <v>Non renseigné</v>
      </c>
      <c r="M307" s="736" t="str">
        <f t="shared" si="12"/>
        <v>-</v>
      </c>
      <c r="N307" s="822" t="e">
        <f t="shared" si="13"/>
        <v>#VALUE!</v>
      </c>
      <c r="O307" s="733" t="e">
        <f t="shared" si="27"/>
        <v>#VALUE!</v>
      </c>
      <c r="P307" s="822" t="e">
        <f t="shared" si="28"/>
        <v>#VALUE!</v>
      </c>
      <c r="Q307" s="823"/>
      <c r="R307" s="942"/>
      <c r="S307" s="402" t="e">
        <f t="shared" ref="S307:S319" si="55">IF($D307="Bâtiments avec mise en service N+1",IF($S$15=$L307,$N307,IF(AND($S$15&gt;$L307,$S$15&lt;$L307+$Q307),$I307,IF($S$15&lt;$L307,"",IF($S$15&gt;$L307+$Q307,"",$P307)))),IF($S$15=$J307,$N307,IF(AND($S$15&gt;$J307,$S$15&lt;$J307+$Q307),$I307,IF($S$15&lt;$J307,"",IF($S$15&gt;$L307+$Q307,"",$P307)))))</f>
        <v>#VALUE!</v>
      </c>
      <c r="T307" s="402" t="e">
        <f t="shared" ref="T307:T319" si="56">IF($D307="Bâtiments avec mise en service N+1",IF($T$15=$L307,$N307,IF(AND($T$15&gt;$L307,$T$15&lt;$L307+$Q307),$I307,IF($T$15&lt;$L307,"",IF($T$15&gt;$L307+$Q307,"",$P307)))),IF($T$15=$J307,$N307,IF(AND($T$15&gt;$J307,$T$15&lt;$J307+$Q307),$I307,IF($T$15&lt;$J307,"",IF($T$15&gt;$L307+$Q307,"",$P307)))))</f>
        <v>#VALUE!</v>
      </c>
      <c r="U307" s="402" t="e">
        <f t="shared" ref="U307:U319" si="57">IF($D307="Bâtiments avec mise en service N+1",IF($U$15=$L307,$N307,IF(AND($U$15&gt;$L307,$U$15&lt;$L307+$Q307),$I307,IF($U$15&lt;$L307,"",IF($U$15&gt;$L307+$Q307,"",$P307)))),IF($U$15=$J307,$N307,IF(AND($U$15&gt;$J307,$U$15&lt;$J307+$Q307),$I307,IF($U$15&lt;$J307,"",IF($U$15&gt;$L307+$Q307,"",$P307)))))</f>
        <v>#VALUE!</v>
      </c>
      <c r="V307" s="402" t="e">
        <f t="shared" ref="V307:V319" si="58">IF($D307="Bâtiments avec mise en service N+1",IF($V$15=$L307,$N307,IF(AND($V$15&gt;$L307,$V$15&lt;$L307+$Q307),$I307,IF($V$15&lt;$L307,"",IF($V$15&gt;$L307+$Q307,"",$P307)))),IF($V$15=$J307,$N307,IF(AND($V$15&gt;$J307,$V$15&lt;$J307+$Q307),$I307,IF($V$15&lt;$J307,"",IF($V$15&gt;$L307+$Q307,"",$P307)))))</f>
        <v>#VALUE!</v>
      </c>
      <c r="W307" s="402" t="e">
        <f t="shared" ref="W307:W319" si="59">IF($D307="Bâtiments avec mise en service N+1",IF($W$15=$L307,$N307,IF(AND($W$15&gt;$L307,$W$15&lt;$L307+$Q307),$I307,IF($W$15&lt;$L307,"",IF($W$15&gt;$L307+$Q307,"",$P307)))),IF($W$15=$J307,$N307,IF(AND($W$15&gt;$J307,$W$15&lt;$J307+$Q307),$I307,IF($W$15&lt;$J307,"",IF($W$15&gt;$L307+$Q307,"",$P307)))))</f>
        <v>#VALUE!</v>
      </c>
      <c r="X307" s="402" t="e">
        <f t="shared" ref="X307:X319" si="60">IF($D307="Bâtiments avec mise en service N+1",IF($X$15=$L307,$N307,IF(AND($X$15&gt;$L307,$X$15&lt;$L307+$Q307),$I307,IF($X$15&lt;$L307,"",IF($X$15&gt;$L307+$Q307,"",$P307)))),IF($X$15=$J307,$N307,IF(AND($X$15&gt;$J307,$X$15&lt;$J307+$Q307),$I307,IF($X$15&lt;$J307,"",IF($X$15&gt;$L307+$Q307,"",$P307)))))</f>
        <v>#VALUE!</v>
      </c>
      <c r="Y307" s="402" t="e">
        <f t="shared" ref="Y307:Y319" si="61">IF($D307="Bâtiments avec mise en service N+1",IF($Y$15=$L307,$N307,IF(AND($Y$15&gt;$L307,$Y$15&lt;$L307+$Q307),$I307,IF($Y$15&lt;$L307,"",IF($Y$15&gt;$L307+$Q307,"",$P307)))),IF($Y$15=$J307,$N307,IF(AND($Y$15&gt;$J307,$Y$15&lt;$J307+$Q307),$I307,IF($Y$15&lt;$J307,"",IF($Y$15&gt;$L307+$Q307,"",$P307)))))</f>
        <v>#VALUE!</v>
      </c>
      <c r="Z307" s="402" t="e">
        <f t="shared" ref="Z307:Z319" si="62">IF($D307="Bâtiments avec mise en service N+1",IF($Z$15=$L307,$N307,IF(AND($Z$15&gt;$L307,$Z$15&lt;$L307+$Q307),$I307,IF($Z$15&lt;$L307,"",IF($Z$15&gt;$L307+$Q307,"",$P307)))),IF($Z$15=$J307,$N307,IF(AND($Z$15&gt;$J307,$Z$15&lt;$J307+$Q307),$I307,IF($Z$15&lt;$J307,"",IF($Z$15&gt;$L307+$Q307,"",$P307)))))</f>
        <v>#VALUE!</v>
      </c>
      <c r="AA307" s="402" t="e">
        <f t="shared" ref="AA307:AA319" si="63">IF($D307="Bâtiments avec mise en service N+1",IF($AA$15=$L307,$N307,IF(AND($AA$15&gt;$L307,$AA$15&lt;$L307+$Q307),$I307,IF($AA$15&lt;$L307,"",IF($AA$15&gt;$L307+$Q307,"",$P307)))),IF($AA$15=$J307,$N307,IF(AND($AA$15&gt;$J307,$AA$15&lt;$J307+$Q307),$I307,IF($AA$15&lt;$J307,"",IF($AA$15&gt;$L307+$Q307,"",$P307)))))</f>
        <v>#VALUE!</v>
      </c>
      <c r="AB307" s="669" t="e">
        <f t="shared" ref="AB307:AB319" si="64">IF($D307="Bâtiments avec mise en service N+1",IF($AB$15=$L307,$N307,IF(AND($AB$15&gt;$L307,$AB$15&lt;$L307+$Q307),$I307,IF($AB$15&lt;$L307,"",IF($AB$15&gt;$L307+$Q307,"",$P307)))),IF($AB$15=$J307,$N307,IF(AND($AB$15&gt;$J307,$AB$15&lt;$J307+$Q307),$I307,IF($AB$15&lt;$J307,"",IF($AB$15&gt;$L307+$Q307,"",$P307)))))</f>
        <v>#VALUE!</v>
      </c>
      <c r="AC307" s="403"/>
    </row>
    <row r="308" spans="2:29" s="121" customFormat="1" outlineLevel="1">
      <c r="B308" s="1167"/>
      <c r="C308" s="1168"/>
      <c r="D308" s="1750" t="s">
        <v>290</v>
      </c>
      <c r="E308" s="1751"/>
      <c r="F308" s="1751"/>
      <c r="G308" s="1752"/>
      <c r="H308" s="835"/>
      <c r="I308" s="1327" t="e">
        <f t="shared" si="0"/>
        <v>#DIV/0!</v>
      </c>
      <c r="J308" s="736" t="s">
        <v>365</v>
      </c>
      <c r="K308" s="736" t="s">
        <v>365</v>
      </c>
      <c r="L308" s="1330" t="str">
        <f t="shared" si="16"/>
        <v>Non renseigné</v>
      </c>
      <c r="M308" s="736" t="str">
        <f t="shared" si="12"/>
        <v>-</v>
      </c>
      <c r="N308" s="822" t="e">
        <f t="shared" si="13"/>
        <v>#VALUE!</v>
      </c>
      <c r="O308" s="733" t="e">
        <f t="shared" si="27"/>
        <v>#VALUE!</v>
      </c>
      <c r="P308" s="822" t="e">
        <f t="shared" si="28"/>
        <v>#VALUE!</v>
      </c>
      <c r="Q308" s="823"/>
      <c r="R308" s="942"/>
      <c r="S308" s="402" t="e">
        <f t="shared" si="55"/>
        <v>#VALUE!</v>
      </c>
      <c r="T308" s="402" t="e">
        <f t="shared" si="56"/>
        <v>#VALUE!</v>
      </c>
      <c r="U308" s="402" t="e">
        <f t="shared" si="57"/>
        <v>#VALUE!</v>
      </c>
      <c r="V308" s="402" t="e">
        <f t="shared" si="58"/>
        <v>#VALUE!</v>
      </c>
      <c r="W308" s="402" t="e">
        <f t="shared" si="59"/>
        <v>#VALUE!</v>
      </c>
      <c r="X308" s="402" t="e">
        <f t="shared" si="60"/>
        <v>#VALUE!</v>
      </c>
      <c r="Y308" s="402" t="e">
        <f t="shared" si="61"/>
        <v>#VALUE!</v>
      </c>
      <c r="Z308" s="402" t="e">
        <f t="shared" si="62"/>
        <v>#VALUE!</v>
      </c>
      <c r="AA308" s="402" t="e">
        <f t="shared" si="63"/>
        <v>#VALUE!</v>
      </c>
      <c r="AB308" s="669" t="e">
        <f t="shared" si="64"/>
        <v>#VALUE!</v>
      </c>
      <c r="AC308" s="403"/>
    </row>
    <row r="309" spans="2:29" s="121" customFormat="1" outlineLevel="1">
      <c r="B309" s="1167"/>
      <c r="C309" s="1168"/>
      <c r="D309" s="1750" t="s">
        <v>290</v>
      </c>
      <c r="E309" s="1751"/>
      <c r="F309" s="1751"/>
      <c r="G309" s="1752"/>
      <c r="H309" s="835"/>
      <c r="I309" s="1327" t="e">
        <f t="shared" si="0"/>
        <v>#DIV/0!</v>
      </c>
      <c r="J309" s="736" t="s">
        <v>365</v>
      </c>
      <c r="K309" s="736" t="s">
        <v>365</v>
      </c>
      <c r="L309" s="1330" t="str">
        <f t="shared" si="16"/>
        <v>Non renseigné</v>
      </c>
      <c r="M309" s="736" t="str">
        <f t="shared" si="12"/>
        <v>-</v>
      </c>
      <c r="N309" s="822" t="e">
        <f t="shared" si="13"/>
        <v>#VALUE!</v>
      </c>
      <c r="O309" s="733" t="e">
        <f t="shared" si="27"/>
        <v>#VALUE!</v>
      </c>
      <c r="P309" s="822" t="e">
        <f t="shared" si="28"/>
        <v>#VALUE!</v>
      </c>
      <c r="Q309" s="823"/>
      <c r="R309" s="942"/>
      <c r="S309" s="402" t="e">
        <f t="shared" si="55"/>
        <v>#VALUE!</v>
      </c>
      <c r="T309" s="402" t="e">
        <f t="shared" si="56"/>
        <v>#VALUE!</v>
      </c>
      <c r="U309" s="402" t="e">
        <f t="shared" si="57"/>
        <v>#VALUE!</v>
      </c>
      <c r="V309" s="402" t="e">
        <f t="shared" si="58"/>
        <v>#VALUE!</v>
      </c>
      <c r="W309" s="402" t="e">
        <f t="shared" si="59"/>
        <v>#VALUE!</v>
      </c>
      <c r="X309" s="402" t="e">
        <f t="shared" si="60"/>
        <v>#VALUE!</v>
      </c>
      <c r="Y309" s="402" t="e">
        <f t="shared" si="61"/>
        <v>#VALUE!</v>
      </c>
      <c r="Z309" s="402" t="e">
        <f t="shared" si="62"/>
        <v>#VALUE!</v>
      </c>
      <c r="AA309" s="402" t="e">
        <f t="shared" si="63"/>
        <v>#VALUE!</v>
      </c>
      <c r="AB309" s="669" t="e">
        <f t="shared" si="64"/>
        <v>#VALUE!</v>
      </c>
      <c r="AC309" s="403"/>
    </row>
    <row r="310" spans="2:29" s="121" customFormat="1" outlineLevel="1">
      <c r="B310" s="1167"/>
      <c r="C310" s="1168"/>
      <c r="D310" s="1750" t="s">
        <v>290</v>
      </c>
      <c r="E310" s="1751"/>
      <c r="F310" s="1751"/>
      <c r="G310" s="1752"/>
      <c r="H310" s="835"/>
      <c r="I310" s="1327" t="e">
        <f t="shared" si="0"/>
        <v>#DIV/0!</v>
      </c>
      <c r="J310" s="736" t="s">
        <v>365</v>
      </c>
      <c r="K310" s="736" t="s">
        <v>365</v>
      </c>
      <c r="L310" s="1330" t="str">
        <f t="shared" si="16"/>
        <v>Non renseigné</v>
      </c>
      <c r="M310" s="736" t="str">
        <f t="shared" si="12"/>
        <v>-</v>
      </c>
      <c r="N310" s="822" t="e">
        <f t="shared" si="13"/>
        <v>#VALUE!</v>
      </c>
      <c r="O310" s="733" t="e">
        <f t="shared" si="27"/>
        <v>#VALUE!</v>
      </c>
      <c r="P310" s="822" t="e">
        <f t="shared" si="28"/>
        <v>#VALUE!</v>
      </c>
      <c r="Q310" s="823"/>
      <c r="R310" s="942"/>
      <c r="S310" s="402" t="e">
        <f t="shared" si="55"/>
        <v>#VALUE!</v>
      </c>
      <c r="T310" s="402" t="e">
        <f t="shared" si="56"/>
        <v>#VALUE!</v>
      </c>
      <c r="U310" s="402" t="e">
        <f t="shared" si="57"/>
        <v>#VALUE!</v>
      </c>
      <c r="V310" s="402" t="e">
        <f t="shared" si="58"/>
        <v>#VALUE!</v>
      </c>
      <c r="W310" s="402" t="e">
        <f t="shared" si="59"/>
        <v>#VALUE!</v>
      </c>
      <c r="X310" s="402" t="e">
        <f t="shared" si="60"/>
        <v>#VALUE!</v>
      </c>
      <c r="Y310" s="402" t="e">
        <f t="shared" si="61"/>
        <v>#VALUE!</v>
      </c>
      <c r="Z310" s="402" t="e">
        <f t="shared" si="62"/>
        <v>#VALUE!</v>
      </c>
      <c r="AA310" s="402" t="e">
        <f t="shared" si="63"/>
        <v>#VALUE!</v>
      </c>
      <c r="AB310" s="669" t="e">
        <f t="shared" si="64"/>
        <v>#VALUE!</v>
      </c>
      <c r="AC310" s="403"/>
    </row>
    <row r="311" spans="2:29" s="121" customFormat="1" outlineLevel="1">
      <c r="B311" s="1167"/>
      <c r="C311" s="1168"/>
      <c r="D311" s="1750" t="s">
        <v>290</v>
      </c>
      <c r="E311" s="1751"/>
      <c r="F311" s="1751"/>
      <c r="G311" s="1752"/>
      <c r="H311" s="835"/>
      <c r="I311" s="1327" t="e">
        <f t="shared" si="0"/>
        <v>#DIV/0!</v>
      </c>
      <c r="J311" s="736" t="s">
        <v>365</v>
      </c>
      <c r="K311" s="736" t="s">
        <v>365</v>
      </c>
      <c r="L311" s="1330" t="str">
        <f t="shared" si="16"/>
        <v>Non renseigné</v>
      </c>
      <c r="M311" s="736" t="str">
        <f t="shared" si="12"/>
        <v>-</v>
      </c>
      <c r="N311" s="822" t="e">
        <f t="shared" si="13"/>
        <v>#VALUE!</v>
      </c>
      <c r="O311" s="733" t="e">
        <f t="shared" si="27"/>
        <v>#VALUE!</v>
      </c>
      <c r="P311" s="822" t="e">
        <f t="shared" si="28"/>
        <v>#VALUE!</v>
      </c>
      <c r="Q311" s="823"/>
      <c r="R311" s="942"/>
      <c r="S311" s="402" t="e">
        <f t="shared" si="55"/>
        <v>#VALUE!</v>
      </c>
      <c r="T311" s="402" t="e">
        <f t="shared" si="56"/>
        <v>#VALUE!</v>
      </c>
      <c r="U311" s="402" t="e">
        <f t="shared" si="57"/>
        <v>#VALUE!</v>
      </c>
      <c r="V311" s="402" t="e">
        <f t="shared" si="58"/>
        <v>#VALUE!</v>
      </c>
      <c r="W311" s="402" t="e">
        <f t="shared" si="59"/>
        <v>#VALUE!</v>
      </c>
      <c r="X311" s="402" t="e">
        <f t="shared" si="60"/>
        <v>#VALUE!</v>
      </c>
      <c r="Y311" s="402" t="e">
        <f t="shared" si="61"/>
        <v>#VALUE!</v>
      </c>
      <c r="Z311" s="402" t="e">
        <f t="shared" si="62"/>
        <v>#VALUE!</v>
      </c>
      <c r="AA311" s="402" t="e">
        <f t="shared" si="63"/>
        <v>#VALUE!</v>
      </c>
      <c r="AB311" s="669" t="e">
        <f t="shared" si="64"/>
        <v>#VALUE!</v>
      </c>
      <c r="AC311" s="403"/>
    </row>
    <row r="312" spans="2:29" s="121" customFormat="1" outlineLevel="1">
      <c r="B312" s="1167"/>
      <c r="C312" s="1168"/>
      <c r="D312" s="1750" t="s">
        <v>290</v>
      </c>
      <c r="E312" s="1751"/>
      <c r="F312" s="1751"/>
      <c r="G312" s="1752"/>
      <c r="H312" s="835"/>
      <c r="I312" s="1327" t="e">
        <f t="shared" si="0"/>
        <v>#DIV/0!</v>
      </c>
      <c r="J312" s="736" t="s">
        <v>365</v>
      </c>
      <c r="K312" s="736" t="s">
        <v>365</v>
      </c>
      <c r="L312" s="1330" t="str">
        <f t="shared" si="16"/>
        <v>Non renseigné</v>
      </c>
      <c r="M312" s="736" t="str">
        <f t="shared" si="12"/>
        <v>-</v>
      </c>
      <c r="N312" s="822" t="e">
        <f t="shared" si="13"/>
        <v>#VALUE!</v>
      </c>
      <c r="O312" s="733" t="e">
        <f t="shared" si="27"/>
        <v>#VALUE!</v>
      </c>
      <c r="P312" s="822" t="e">
        <f t="shared" si="28"/>
        <v>#VALUE!</v>
      </c>
      <c r="Q312" s="823"/>
      <c r="R312" s="942"/>
      <c r="S312" s="402" t="e">
        <f t="shared" si="55"/>
        <v>#VALUE!</v>
      </c>
      <c r="T312" s="402" t="e">
        <f t="shared" si="56"/>
        <v>#VALUE!</v>
      </c>
      <c r="U312" s="402" t="e">
        <f t="shared" si="57"/>
        <v>#VALUE!</v>
      </c>
      <c r="V312" s="402" t="e">
        <f t="shared" si="58"/>
        <v>#VALUE!</v>
      </c>
      <c r="W312" s="402" t="e">
        <f t="shared" si="59"/>
        <v>#VALUE!</v>
      </c>
      <c r="X312" s="402" t="e">
        <f t="shared" si="60"/>
        <v>#VALUE!</v>
      </c>
      <c r="Y312" s="402" t="e">
        <f t="shared" si="61"/>
        <v>#VALUE!</v>
      </c>
      <c r="Z312" s="402" t="e">
        <f t="shared" si="62"/>
        <v>#VALUE!</v>
      </c>
      <c r="AA312" s="402" t="e">
        <f t="shared" si="63"/>
        <v>#VALUE!</v>
      </c>
      <c r="AB312" s="669" t="e">
        <f t="shared" si="64"/>
        <v>#VALUE!</v>
      </c>
      <c r="AC312" s="403"/>
    </row>
    <row r="313" spans="2:29" s="121" customFormat="1" outlineLevel="1">
      <c r="B313" s="1167"/>
      <c r="C313" s="1168"/>
      <c r="D313" s="1750" t="s">
        <v>290</v>
      </c>
      <c r="E313" s="1751"/>
      <c r="F313" s="1751"/>
      <c r="G313" s="1752"/>
      <c r="H313" s="835"/>
      <c r="I313" s="1327" t="e">
        <f t="shared" si="0"/>
        <v>#DIV/0!</v>
      </c>
      <c r="J313" s="736" t="s">
        <v>365</v>
      </c>
      <c r="K313" s="736" t="s">
        <v>365</v>
      </c>
      <c r="L313" s="1330" t="str">
        <f t="shared" si="16"/>
        <v>Non renseigné</v>
      </c>
      <c r="M313" s="736" t="str">
        <f t="shared" si="12"/>
        <v>-</v>
      </c>
      <c r="N313" s="822" t="e">
        <f t="shared" si="13"/>
        <v>#VALUE!</v>
      </c>
      <c r="O313" s="733" t="e">
        <f t="shared" si="27"/>
        <v>#VALUE!</v>
      </c>
      <c r="P313" s="822" t="e">
        <f t="shared" si="28"/>
        <v>#VALUE!</v>
      </c>
      <c r="Q313" s="823"/>
      <c r="R313" s="942"/>
      <c r="S313" s="402" t="e">
        <f t="shared" si="55"/>
        <v>#VALUE!</v>
      </c>
      <c r="T313" s="402" t="e">
        <f t="shared" si="56"/>
        <v>#VALUE!</v>
      </c>
      <c r="U313" s="402" t="e">
        <f t="shared" si="57"/>
        <v>#VALUE!</v>
      </c>
      <c r="V313" s="402" t="e">
        <f t="shared" si="58"/>
        <v>#VALUE!</v>
      </c>
      <c r="W313" s="402" t="e">
        <f t="shared" si="59"/>
        <v>#VALUE!</v>
      </c>
      <c r="X313" s="402" t="e">
        <f t="shared" si="60"/>
        <v>#VALUE!</v>
      </c>
      <c r="Y313" s="402" t="e">
        <f t="shared" si="61"/>
        <v>#VALUE!</v>
      </c>
      <c r="Z313" s="402" t="e">
        <f t="shared" si="62"/>
        <v>#VALUE!</v>
      </c>
      <c r="AA313" s="402" t="e">
        <f t="shared" si="63"/>
        <v>#VALUE!</v>
      </c>
      <c r="AB313" s="669" t="e">
        <f t="shared" si="64"/>
        <v>#VALUE!</v>
      </c>
      <c r="AC313" s="403"/>
    </row>
    <row r="314" spans="2:29" s="121" customFormat="1" outlineLevel="1">
      <c r="B314" s="1167"/>
      <c r="C314" s="1168"/>
      <c r="D314" s="1750" t="s">
        <v>290</v>
      </c>
      <c r="E314" s="1751"/>
      <c r="F314" s="1751"/>
      <c r="G314" s="1752"/>
      <c r="H314" s="835"/>
      <c r="I314" s="1327" t="e">
        <f t="shared" si="0"/>
        <v>#DIV/0!</v>
      </c>
      <c r="J314" s="736" t="s">
        <v>365</v>
      </c>
      <c r="K314" s="736" t="s">
        <v>365</v>
      </c>
      <c r="L314" s="1330" t="str">
        <f t="shared" si="16"/>
        <v>Non renseigné</v>
      </c>
      <c r="M314" s="736" t="str">
        <f t="shared" si="12"/>
        <v>-</v>
      </c>
      <c r="N314" s="822" t="e">
        <f t="shared" si="13"/>
        <v>#VALUE!</v>
      </c>
      <c r="O314" s="733" t="e">
        <f t="shared" si="27"/>
        <v>#VALUE!</v>
      </c>
      <c r="P314" s="822" t="e">
        <f t="shared" si="28"/>
        <v>#VALUE!</v>
      </c>
      <c r="Q314" s="823"/>
      <c r="R314" s="942"/>
      <c r="S314" s="402" t="e">
        <f t="shared" si="55"/>
        <v>#VALUE!</v>
      </c>
      <c r="T314" s="402" t="e">
        <f t="shared" si="56"/>
        <v>#VALUE!</v>
      </c>
      <c r="U314" s="402" t="e">
        <f t="shared" si="57"/>
        <v>#VALUE!</v>
      </c>
      <c r="V314" s="402" t="e">
        <f t="shared" si="58"/>
        <v>#VALUE!</v>
      </c>
      <c r="W314" s="402" t="e">
        <f t="shared" si="59"/>
        <v>#VALUE!</v>
      </c>
      <c r="X314" s="402" t="e">
        <f t="shared" si="60"/>
        <v>#VALUE!</v>
      </c>
      <c r="Y314" s="402" t="e">
        <f t="shared" si="61"/>
        <v>#VALUE!</v>
      </c>
      <c r="Z314" s="402" t="e">
        <f t="shared" si="62"/>
        <v>#VALUE!</v>
      </c>
      <c r="AA314" s="402" t="e">
        <f t="shared" si="63"/>
        <v>#VALUE!</v>
      </c>
      <c r="AB314" s="669" t="e">
        <f t="shared" si="64"/>
        <v>#VALUE!</v>
      </c>
      <c r="AC314" s="403"/>
    </row>
    <row r="315" spans="2:29" s="121" customFormat="1" outlineLevel="1">
      <c r="B315" s="1167"/>
      <c r="C315" s="1168"/>
      <c r="D315" s="1750" t="s">
        <v>290</v>
      </c>
      <c r="E315" s="1751"/>
      <c r="F315" s="1751"/>
      <c r="G315" s="1752"/>
      <c r="H315" s="835"/>
      <c r="I315" s="1327" t="e">
        <f t="shared" si="0"/>
        <v>#DIV/0!</v>
      </c>
      <c r="J315" s="736" t="s">
        <v>365</v>
      </c>
      <c r="K315" s="736" t="s">
        <v>365</v>
      </c>
      <c r="L315" s="1330" t="str">
        <f t="shared" si="16"/>
        <v>Non renseigné</v>
      </c>
      <c r="M315" s="736" t="str">
        <f t="shared" si="12"/>
        <v>-</v>
      </c>
      <c r="N315" s="822" t="e">
        <f t="shared" si="13"/>
        <v>#VALUE!</v>
      </c>
      <c r="O315" s="733" t="e">
        <f t="shared" si="27"/>
        <v>#VALUE!</v>
      </c>
      <c r="P315" s="822" t="e">
        <f t="shared" si="28"/>
        <v>#VALUE!</v>
      </c>
      <c r="Q315" s="823"/>
      <c r="R315" s="942"/>
      <c r="S315" s="402" t="e">
        <f t="shared" si="55"/>
        <v>#VALUE!</v>
      </c>
      <c r="T315" s="402" t="e">
        <f t="shared" si="56"/>
        <v>#VALUE!</v>
      </c>
      <c r="U315" s="402" t="e">
        <f t="shared" si="57"/>
        <v>#VALUE!</v>
      </c>
      <c r="V315" s="402" t="e">
        <f t="shared" si="58"/>
        <v>#VALUE!</v>
      </c>
      <c r="W315" s="402" t="e">
        <f t="shared" si="59"/>
        <v>#VALUE!</v>
      </c>
      <c r="X315" s="402" t="e">
        <f t="shared" si="60"/>
        <v>#VALUE!</v>
      </c>
      <c r="Y315" s="402" t="e">
        <f t="shared" si="61"/>
        <v>#VALUE!</v>
      </c>
      <c r="Z315" s="402" t="e">
        <f t="shared" si="62"/>
        <v>#VALUE!</v>
      </c>
      <c r="AA315" s="402" t="e">
        <f t="shared" si="63"/>
        <v>#VALUE!</v>
      </c>
      <c r="AB315" s="669" t="e">
        <f t="shared" si="64"/>
        <v>#VALUE!</v>
      </c>
      <c r="AC315" s="403"/>
    </row>
    <row r="316" spans="2:29" s="121" customFormat="1" outlineLevel="1">
      <c r="B316" s="1167"/>
      <c r="C316" s="1168"/>
      <c r="D316" s="1750" t="s">
        <v>290</v>
      </c>
      <c r="E316" s="1751"/>
      <c r="F316" s="1751"/>
      <c r="G316" s="1752"/>
      <c r="H316" s="835"/>
      <c r="I316" s="1327" t="e">
        <f t="shared" si="0"/>
        <v>#DIV/0!</v>
      </c>
      <c r="J316" s="736" t="s">
        <v>365</v>
      </c>
      <c r="K316" s="736" t="s">
        <v>365</v>
      </c>
      <c r="L316" s="1330" t="str">
        <f t="shared" si="16"/>
        <v>Non renseigné</v>
      </c>
      <c r="M316" s="736" t="str">
        <f t="shared" si="12"/>
        <v>-</v>
      </c>
      <c r="N316" s="822" t="e">
        <f t="shared" si="13"/>
        <v>#VALUE!</v>
      </c>
      <c r="O316" s="733" t="e">
        <f t="shared" si="27"/>
        <v>#VALUE!</v>
      </c>
      <c r="P316" s="822" t="e">
        <f t="shared" si="28"/>
        <v>#VALUE!</v>
      </c>
      <c r="Q316" s="823"/>
      <c r="R316" s="942"/>
      <c r="S316" s="402" t="e">
        <f t="shared" si="55"/>
        <v>#VALUE!</v>
      </c>
      <c r="T316" s="402" t="e">
        <f t="shared" si="56"/>
        <v>#VALUE!</v>
      </c>
      <c r="U316" s="402" t="e">
        <f t="shared" si="57"/>
        <v>#VALUE!</v>
      </c>
      <c r="V316" s="402" t="e">
        <f t="shared" si="58"/>
        <v>#VALUE!</v>
      </c>
      <c r="W316" s="402" t="e">
        <f t="shared" si="59"/>
        <v>#VALUE!</v>
      </c>
      <c r="X316" s="402" t="e">
        <f t="shared" si="60"/>
        <v>#VALUE!</v>
      </c>
      <c r="Y316" s="402" t="e">
        <f t="shared" si="61"/>
        <v>#VALUE!</v>
      </c>
      <c r="Z316" s="402" t="e">
        <f t="shared" si="62"/>
        <v>#VALUE!</v>
      </c>
      <c r="AA316" s="402" t="e">
        <f t="shared" si="63"/>
        <v>#VALUE!</v>
      </c>
      <c r="AB316" s="669" t="e">
        <f t="shared" si="64"/>
        <v>#VALUE!</v>
      </c>
      <c r="AC316" s="403"/>
    </row>
    <row r="317" spans="2:29" s="121" customFormat="1" outlineLevel="1">
      <c r="B317" s="1167"/>
      <c r="C317" s="1168"/>
      <c r="D317" s="1750" t="s">
        <v>290</v>
      </c>
      <c r="E317" s="1751"/>
      <c r="F317" s="1751"/>
      <c r="G317" s="1752"/>
      <c r="H317" s="835"/>
      <c r="I317" s="1327" t="e">
        <f t="shared" si="0"/>
        <v>#DIV/0!</v>
      </c>
      <c r="J317" s="736" t="s">
        <v>365</v>
      </c>
      <c r="K317" s="736" t="s">
        <v>365</v>
      </c>
      <c r="L317" s="1330" t="str">
        <f t="shared" si="16"/>
        <v>Non renseigné</v>
      </c>
      <c r="M317" s="736" t="str">
        <f t="shared" si="12"/>
        <v>-</v>
      </c>
      <c r="N317" s="822" t="e">
        <f t="shared" si="13"/>
        <v>#VALUE!</v>
      </c>
      <c r="O317" s="733" t="e">
        <f t="shared" si="27"/>
        <v>#VALUE!</v>
      </c>
      <c r="P317" s="822" t="e">
        <f t="shared" si="28"/>
        <v>#VALUE!</v>
      </c>
      <c r="Q317" s="823"/>
      <c r="R317" s="942"/>
      <c r="S317" s="402" t="e">
        <f t="shared" si="55"/>
        <v>#VALUE!</v>
      </c>
      <c r="T317" s="402" t="e">
        <f t="shared" si="56"/>
        <v>#VALUE!</v>
      </c>
      <c r="U317" s="402" t="e">
        <f t="shared" si="57"/>
        <v>#VALUE!</v>
      </c>
      <c r="V317" s="402" t="e">
        <f t="shared" si="58"/>
        <v>#VALUE!</v>
      </c>
      <c r="W317" s="402" t="e">
        <f t="shared" si="59"/>
        <v>#VALUE!</v>
      </c>
      <c r="X317" s="402" t="e">
        <f t="shared" si="60"/>
        <v>#VALUE!</v>
      </c>
      <c r="Y317" s="402" t="e">
        <f t="shared" si="61"/>
        <v>#VALUE!</v>
      </c>
      <c r="Z317" s="402" t="e">
        <f t="shared" si="62"/>
        <v>#VALUE!</v>
      </c>
      <c r="AA317" s="402" t="e">
        <f t="shared" si="63"/>
        <v>#VALUE!</v>
      </c>
      <c r="AB317" s="669" t="e">
        <f t="shared" si="64"/>
        <v>#VALUE!</v>
      </c>
      <c r="AC317" s="403"/>
    </row>
    <row r="318" spans="2:29" s="121" customFormat="1" outlineLevel="1">
      <c r="B318" s="1167"/>
      <c r="C318" s="1168"/>
      <c r="D318" s="1750" t="s">
        <v>290</v>
      </c>
      <c r="E318" s="1751"/>
      <c r="F318" s="1751"/>
      <c r="G318" s="1752"/>
      <c r="H318" s="835"/>
      <c r="I318" s="1327" t="e">
        <f t="shared" si="0"/>
        <v>#DIV/0!</v>
      </c>
      <c r="J318" s="736" t="s">
        <v>365</v>
      </c>
      <c r="K318" s="736" t="s">
        <v>365</v>
      </c>
      <c r="L318" s="1330" t="str">
        <f t="shared" si="16"/>
        <v>Non renseigné</v>
      </c>
      <c r="M318" s="736" t="str">
        <f t="shared" si="12"/>
        <v>-</v>
      </c>
      <c r="N318" s="822" t="e">
        <f t="shared" si="13"/>
        <v>#VALUE!</v>
      </c>
      <c r="O318" s="733" t="e">
        <f t="shared" si="27"/>
        <v>#VALUE!</v>
      </c>
      <c r="P318" s="822" t="e">
        <f t="shared" si="28"/>
        <v>#VALUE!</v>
      </c>
      <c r="Q318" s="823"/>
      <c r="R318" s="942"/>
      <c r="S318" s="402" t="e">
        <f t="shared" si="55"/>
        <v>#VALUE!</v>
      </c>
      <c r="T318" s="402" t="e">
        <f t="shared" si="56"/>
        <v>#VALUE!</v>
      </c>
      <c r="U318" s="402" t="e">
        <f t="shared" si="57"/>
        <v>#VALUE!</v>
      </c>
      <c r="V318" s="402" t="e">
        <f t="shared" si="58"/>
        <v>#VALUE!</v>
      </c>
      <c r="W318" s="402" t="e">
        <f t="shared" si="59"/>
        <v>#VALUE!</v>
      </c>
      <c r="X318" s="402" t="e">
        <f t="shared" si="60"/>
        <v>#VALUE!</v>
      </c>
      <c r="Y318" s="402" t="e">
        <f t="shared" si="61"/>
        <v>#VALUE!</v>
      </c>
      <c r="Z318" s="402" t="e">
        <f t="shared" si="62"/>
        <v>#VALUE!</v>
      </c>
      <c r="AA318" s="402" t="e">
        <f t="shared" si="63"/>
        <v>#VALUE!</v>
      </c>
      <c r="AB318" s="669" t="e">
        <f t="shared" si="64"/>
        <v>#VALUE!</v>
      </c>
      <c r="AC318" s="403"/>
    </row>
    <row r="319" spans="2:29" s="121" customFormat="1" outlineLevel="1">
      <c r="B319" s="1167"/>
      <c r="C319" s="1168"/>
      <c r="D319" s="1750" t="s">
        <v>290</v>
      </c>
      <c r="E319" s="1751"/>
      <c r="F319" s="1751"/>
      <c r="G319" s="1752"/>
      <c r="H319" s="835"/>
      <c r="I319" s="1327" t="e">
        <f t="shared" si="0"/>
        <v>#DIV/0!</v>
      </c>
      <c r="J319" s="736" t="s">
        <v>365</v>
      </c>
      <c r="K319" s="736" t="s">
        <v>365</v>
      </c>
      <c r="L319" s="1330" t="str">
        <f t="shared" si="16"/>
        <v>Non renseigné</v>
      </c>
      <c r="M319" s="736" t="str">
        <f t="shared" si="12"/>
        <v>-</v>
      </c>
      <c r="N319" s="822" t="e">
        <f t="shared" si="13"/>
        <v>#VALUE!</v>
      </c>
      <c r="O319" s="733" t="e">
        <f t="shared" si="27"/>
        <v>#VALUE!</v>
      </c>
      <c r="P319" s="822" t="e">
        <f t="shared" si="28"/>
        <v>#VALUE!</v>
      </c>
      <c r="Q319" s="823"/>
      <c r="R319" s="942"/>
      <c r="S319" s="402" t="e">
        <f t="shared" si="55"/>
        <v>#VALUE!</v>
      </c>
      <c r="T319" s="402" t="e">
        <f t="shared" si="56"/>
        <v>#VALUE!</v>
      </c>
      <c r="U319" s="402" t="e">
        <f t="shared" si="57"/>
        <v>#VALUE!</v>
      </c>
      <c r="V319" s="402" t="e">
        <f t="shared" si="58"/>
        <v>#VALUE!</v>
      </c>
      <c r="W319" s="402" t="e">
        <f t="shared" si="59"/>
        <v>#VALUE!</v>
      </c>
      <c r="X319" s="402" t="e">
        <f t="shared" si="60"/>
        <v>#VALUE!</v>
      </c>
      <c r="Y319" s="402" t="e">
        <f t="shared" si="61"/>
        <v>#VALUE!</v>
      </c>
      <c r="Z319" s="402" t="e">
        <f t="shared" si="62"/>
        <v>#VALUE!</v>
      </c>
      <c r="AA319" s="402" t="e">
        <f t="shared" si="63"/>
        <v>#VALUE!</v>
      </c>
      <c r="AB319" s="669" t="e">
        <f t="shared" si="64"/>
        <v>#VALUE!</v>
      </c>
      <c r="AC319" s="403"/>
    </row>
    <row r="320" spans="2:29" s="121" customFormat="1" outlineLevel="1">
      <c r="B320" s="1167"/>
      <c r="C320" s="1168"/>
      <c r="D320" s="1750" t="s">
        <v>290</v>
      </c>
      <c r="E320" s="1751"/>
      <c r="F320" s="1751"/>
      <c r="G320" s="1752"/>
      <c r="H320" s="835"/>
      <c r="I320" s="1327" t="e">
        <f t="shared" ref="I320:I396" si="65">H320*(1/Q320)</f>
        <v>#DIV/0!</v>
      </c>
      <c r="J320" s="736" t="s">
        <v>365</v>
      </c>
      <c r="K320" s="736" t="s">
        <v>365</v>
      </c>
      <c r="L320" s="1330" t="str">
        <f t="shared" ref="L320:L396" si="66">IF(D320="Bâtiments avec mise en service N+1",J320+1,J320)</f>
        <v>Non renseigné</v>
      </c>
      <c r="M320" s="736" t="str">
        <f t="shared" ref="M320:M396" si="67">VLOOKUP(K320,$AD$14:$AE$27,2,FALSE)</f>
        <v>-</v>
      </c>
      <c r="N320" s="822" t="e">
        <f t="shared" ref="N320:N396" si="68">H320*(M320/12)*(1/Q320)</f>
        <v>#VALUE!</v>
      </c>
      <c r="O320" s="733" t="e">
        <f t="shared" ref="O320:O396" si="69">12-M320</f>
        <v>#VALUE!</v>
      </c>
      <c r="P320" s="822" t="e">
        <f t="shared" ref="P320:P396" si="70">H320*(O320/12)*(1/Q320)</f>
        <v>#VALUE!</v>
      </c>
      <c r="Q320" s="823"/>
      <c r="R320" s="942"/>
      <c r="S320" s="402" t="e">
        <f t="shared" si="17"/>
        <v>#VALUE!</v>
      </c>
      <c r="T320" s="402" t="e">
        <f t="shared" si="18"/>
        <v>#VALUE!</v>
      </c>
      <c r="U320" s="402" t="e">
        <f t="shared" si="19"/>
        <v>#VALUE!</v>
      </c>
      <c r="V320" s="402" t="e">
        <f t="shared" si="20"/>
        <v>#VALUE!</v>
      </c>
      <c r="W320" s="402" t="e">
        <f t="shared" si="21"/>
        <v>#VALUE!</v>
      </c>
      <c r="X320" s="402" t="e">
        <f t="shared" si="22"/>
        <v>#VALUE!</v>
      </c>
      <c r="Y320" s="402" t="e">
        <f t="shared" si="23"/>
        <v>#VALUE!</v>
      </c>
      <c r="Z320" s="402" t="e">
        <f t="shared" si="24"/>
        <v>#VALUE!</v>
      </c>
      <c r="AA320" s="402" t="e">
        <f t="shared" si="25"/>
        <v>#VALUE!</v>
      </c>
      <c r="AB320" s="669" t="e">
        <f t="shared" si="26"/>
        <v>#VALUE!</v>
      </c>
      <c r="AC320" s="403"/>
    </row>
    <row r="321" spans="2:29" s="121" customFormat="1" outlineLevel="1">
      <c r="B321" s="1167"/>
      <c r="C321" s="1168"/>
      <c r="D321" s="1750" t="s">
        <v>290</v>
      </c>
      <c r="E321" s="1751"/>
      <c r="F321" s="1751"/>
      <c r="G321" s="1752"/>
      <c r="H321" s="835"/>
      <c r="I321" s="1327" t="e">
        <f t="shared" si="65"/>
        <v>#DIV/0!</v>
      </c>
      <c r="J321" s="736" t="s">
        <v>365</v>
      </c>
      <c r="K321" s="736" t="s">
        <v>365</v>
      </c>
      <c r="L321" s="1330" t="str">
        <f t="shared" si="66"/>
        <v>Non renseigné</v>
      </c>
      <c r="M321" s="736" t="str">
        <f t="shared" si="67"/>
        <v>-</v>
      </c>
      <c r="N321" s="822" t="e">
        <f t="shared" si="68"/>
        <v>#VALUE!</v>
      </c>
      <c r="O321" s="733" t="e">
        <f t="shared" si="69"/>
        <v>#VALUE!</v>
      </c>
      <c r="P321" s="822" t="e">
        <f t="shared" si="70"/>
        <v>#VALUE!</v>
      </c>
      <c r="Q321" s="823"/>
      <c r="R321" s="942"/>
      <c r="S321" s="402" t="e">
        <f t="shared" si="17"/>
        <v>#VALUE!</v>
      </c>
      <c r="T321" s="402" t="e">
        <f t="shared" si="18"/>
        <v>#VALUE!</v>
      </c>
      <c r="U321" s="402" t="e">
        <f t="shared" si="19"/>
        <v>#VALUE!</v>
      </c>
      <c r="V321" s="402" t="e">
        <f t="shared" si="20"/>
        <v>#VALUE!</v>
      </c>
      <c r="W321" s="402" t="e">
        <f t="shared" si="21"/>
        <v>#VALUE!</v>
      </c>
      <c r="X321" s="402" t="e">
        <f t="shared" si="22"/>
        <v>#VALUE!</v>
      </c>
      <c r="Y321" s="402" t="e">
        <f t="shared" si="23"/>
        <v>#VALUE!</v>
      </c>
      <c r="Z321" s="402" t="e">
        <f t="shared" si="24"/>
        <v>#VALUE!</v>
      </c>
      <c r="AA321" s="402" t="e">
        <f t="shared" si="25"/>
        <v>#VALUE!</v>
      </c>
      <c r="AB321" s="669" t="e">
        <f t="shared" si="26"/>
        <v>#VALUE!</v>
      </c>
      <c r="AC321" s="403"/>
    </row>
    <row r="322" spans="2:29" s="121" customFormat="1" outlineLevel="1">
      <c r="B322" s="1167"/>
      <c r="C322" s="1168"/>
      <c r="D322" s="1750" t="s">
        <v>290</v>
      </c>
      <c r="E322" s="1751"/>
      <c r="F322" s="1751"/>
      <c r="G322" s="1752"/>
      <c r="H322" s="835"/>
      <c r="I322" s="1327" t="e">
        <f t="shared" si="65"/>
        <v>#DIV/0!</v>
      </c>
      <c r="J322" s="736" t="s">
        <v>365</v>
      </c>
      <c r="K322" s="736" t="s">
        <v>365</v>
      </c>
      <c r="L322" s="1330" t="str">
        <f t="shared" si="66"/>
        <v>Non renseigné</v>
      </c>
      <c r="M322" s="736" t="str">
        <f t="shared" si="67"/>
        <v>-</v>
      </c>
      <c r="N322" s="822" t="e">
        <f t="shared" si="68"/>
        <v>#VALUE!</v>
      </c>
      <c r="O322" s="733" t="e">
        <f t="shared" si="69"/>
        <v>#VALUE!</v>
      </c>
      <c r="P322" s="822" t="e">
        <f t="shared" si="70"/>
        <v>#VALUE!</v>
      </c>
      <c r="Q322" s="823"/>
      <c r="R322" s="942"/>
      <c r="S322" s="402" t="e">
        <f t="shared" si="17"/>
        <v>#VALUE!</v>
      </c>
      <c r="T322" s="402" t="e">
        <f t="shared" si="18"/>
        <v>#VALUE!</v>
      </c>
      <c r="U322" s="402" t="e">
        <f t="shared" si="19"/>
        <v>#VALUE!</v>
      </c>
      <c r="V322" s="402" t="e">
        <f t="shared" si="20"/>
        <v>#VALUE!</v>
      </c>
      <c r="W322" s="402" t="e">
        <f t="shared" si="21"/>
        <v>#VALUE!</v>
      </c>
      <c r="X322" s="402" t="e">
        <f t="shared" si="22"/>
        <v>#VALUE!</v>
      </c>
      <c r="Y322" s="402" t="e">
        <f t="shared" si="23"/>
        <v>#VALUE!</v>
      </c>
      <c r="Z322" s="402" t="e">
        <f t="shared" si="24"/>
        <v>#VALUE!</v>
      </c>
      <c r="AA322" s="402" t="e">
        <f t="shared" si="25"/>
        <v>#VALUE!</v>
      </c>
      <c r="AB322" s="669" t="e">
        <f t="shared" si="26"/>
        <v>#VALUE!</v>
      </c>
      <c r="AC322" s="403"/>
    </row>
    <row r="323" spans="2:29" s="121" customFormat="1" outlineLevel="1">
      <c r="B323" s="1167"/>
      <c r="C323" s="1168"/>
      <c r="D323" s="1750" t="s">
        <v>290</v>
      </c>
      <c r="E323" s="1751"/>
      <c r="F323" s="1751"/>
      <c r="G323" s="1752"/>
      <c r="H323" s="835"/>
      <c r="I323" s="1327" t="e">
        <f t="shared" si="65"/>
        <v>#DIV/0!</v>
      </c>
      <c r="J323" s="736" t="s">
        <v>365</v>
      </c>
      <c r="K323" s="736" t="s">
        <v>365</v>
      </c>
      <c r="L323" s="1330" t="str">
        <f t="shared" si="66"/>
        <v>Non renseigné</v>
      </c>
      <c r="M323" s="736" t="str">
        <f t="shared" si="67"/>
        <v>-</v>
      </c>
      <c r="N323" s="822" t="e">
        <f t="shared" si="68"/>
        <v>#VALUE!</v>
      </c>
      <c r="O323" s="733" t="e">
        <f t="shared" si="69"/>
        <v>#VALUE!</v>
      </c>
      <c r="P323" s="822" t="e">
        <f t="shared" si="70"/>
        <v>#VALUE!</v>
      </c>
      <c r="Q323" s="823"/>
      <c r="R323" s="942"/>
      <c r="S323" s="402" t="e">
        <f t="shared" si="17"/>
        <v>#VALUE!</v>
      </c>
      <c r="T323" s="402" t="e">
        <f t="shared" si="18"/>
        <v>#VALUE!</v>
      </c>
      <c r="U323" s="402" t="e">
        <f t="shared" si="19"/>
        <v>#VALUE!</v>
      </c>
      <c r="V323" s="402" t="e">
        <f t="shared" si="20"/>
        <v>#VALUE!</v>
      </c>
      <c r="W323" s="402" t="e">
        <f t="shared" si="21"/>
        <v>#VALUE!</v>
      </c>
      <c r="X323" s="402" t="e">
        <f t="shared" si="22"/>
        <v>#VALUE!</v>
      </c>
      <c r="Y323" s="402" t="e">
        <f t="shared" si="23"/>
        <v>#VALUE!</v>
      </c>
      <c r="Z323" s="402" t="e">
        <f t="shared" si="24"/>
        <v>#VALUE!</v>
      </c>
      <c r="AA323" s="402" t="e">
        <f t="shared" si="25"/>
        <v>#VALUE!</v>
      </c>
      <c r="AB323" s="669" t="e">
        <f t="shared" si="26"/>
        <v>#VALUE!</v>
      </c>
      <c r="AC323" s="403"/>
    </row>
    <row r="324" spans="2:29" s="121" customFormat="1" outlineLevel="1">
      <c r="B324" s="1167"/>
      <c r="C324" s="1168"/>
      <c r="D324" s="1750" t="s">
        <v>290</v>
      </c>
      <c r="E324" s="1751"/>
      <c r="F324" s="1751"/>
      <c r="G324" s="1752"/>
      <c r="H324" s="835"/>
      <c r="I324" s="1327" t="e">
        <f t="shared" si="65"/>
        <v>#DIV/0!</v>
      </c>
      <c r="J324" s="736" t="s">
        <v>365</v>
      </c>
      <c r="K324" s="736" t="s">
        <v>365</v>
      </c>
      <c r="L324" s="1330" t="str">
        <f t="shared" si="66"/>
        <v>Non renseigné</v>
      </c>
      <c r="M324" s="736" t="str">
        <f t="shared" si="67"/>
        <v>-</v>
      </c>
      <c r="N324" s="822" t="e">
        <f t="shared" si="68"/>
        <v>#VALUE!</v>
      </c>
      <c r="O324" s="733" t="e">
        <f t="shared" si="69"/>
        <v>#VALUE!</v>
      </c>
      <c r="P324" s="822" t="e">
        <f t="shared" si="70"/>
        <v>#VALUE!</v>
      </c>
      <c r="Q324" s="823"/>
      <c r="R324" s="942"/>
      <c r="S324" s="402" t="e">
        <f t="shared" si="17"/>
        <v>#VALUE!</v>
      </c>
      <c r="T324" s="402" t="e">
        <f t="shared" si="18"/>
        <v>#VALUE!</v>
      </c>
      <c r="U324" s="402" t="e">
        <f t="shared" si="19"/>
        <v>#VALUE!</v>
      </c>
      <c r="V324" s="402" t="e">
        <f t="shared" si="20"/>
        <v>#VALUE!</v>
      </c>
      <c r="W324" s="402" t="e">
        <f t="shared" si="21"/>
        <v>#VALUE!</v>
      </c>
      <c r="X324" s="402" t="e">
        <f t="shared" si="22"/>
        <v>#VALUE!</v>
      </c>
      <c r="Y324" s="402" t="e">
        <f t="shared" si="23"/>
        <v>#VALUE!</v>
      </c>
      <c r="Z324" s="402" t="e">
        <f t="shared" si="24"/>
        <v>#VALUE!</v>
      </c>
      <c r="AA324" s="402" t="e">
        <f t="shared" si="25"/>
        <v>#VALUE!</v>
      </c>
      <c r="AB324" s="669" t="e">
        <f t="shared" si="26"/>
        <v>#VALUE!</v>
      </c>
      <c r="AC324" s="403"/>
    </row>
    <row r="325" spans="2:29" s="121" customFormat="1" outlineLevel="1">
      <c r="B325" s="1167"/>
      <c r="C325" s="1168"/>
      <c r="D325" s="1750" t="s">
        <v>290</v>
      </c>
      <c r="E325" s="1751"/>
      <c r="F325" s="1751"/>
      <c r="G325" s="1752"/>
      <c r="H325" s="835"/>
      <c r="I325" s="1327" t="e">
        <f t="shared" si="65"/>
        <v>#DIV/0!</v>
      </c>
      <c r="J325" s="736" t="s">
        <v>365</v>
      </c>
      <c r="K325" s="736" t="s">
        <v>365</v>
      </c>
      <c r="L325" s="1330" t="str">
        <f t="shared" si="66"/>
        <v>Non renseigné</v>
      </c>
      <c r="M325" s="736" t="str">
        <f t="shared" si="67"/>
        <v>-</v>
      </c>
      <c r="N325" s="822" t="e">
        <f t="shared" si="68"/>
        <v>#VALUE!</v>
      </c>
      <c r="O325" s="733" t="e">
        <f t="shared" si="69"/>
        <v>#VALUE!</v>
      </c>
      <c r="P325" s="822" t="e">
        <f t="shared" si="70"/>
        <v>#VALUE!</v>
      </c>
      <c r="Q325" s="823"/>
      <c r="R325" s="942"/>
      <c r="S325" s="402" t="e">
        <f t="shared" si="17"/>
        <v>#VALUE!</v>
      </c>
      <c r="T325" s="402" t="e">
        <f t="shared" si="18"/>
        <v>#VALUE!</v>
      </c>
      <c r="U325" s="402" t="e">
        <f t="shared" si="19"/>
        <v>#VALUE!</v>
      </c>
      <c r="V325" s="402" t="e">
        <f t="shared" si="20"/>
        <v>#VALUE!</v>
      </c>
      <c r="W325" s="402" t="e">
        <f t="shared" si="21"/>
        <v>#VALUE!</v>
      </c>
      <c r="X325" s="402" t="e">
        <f t="shared" si="22"/>
        <v>#VALUE!</v>
      </c>
      <c r="Y325" s="402" t="e">
        <f t="shared" si="23"/>
        <v>#VALUE!</v>
      </c>
      <c r="Z325" s="402" t="e">
        <f t="shared" si="24"/>
        <v>#VALUE!</v>
      </c>
      <c r="AA325" s="402" t="e">
        <f t="shared" si="25"/>
        <v>#VALUE!</v>
      </c>
      <c r="AB325" s="669" t="e">
        <f t="shared" si="26"/>
        <v>#VALUE!</v>
      </c>
      <c r="AC325" s="403"/>
    </row>
    <row r="326" spans="2:29" s="121" customFormat="1" outlineLevel="1">
      <c r="B326" s="1167"/>
      <c r="C326" s="1168"/>
      <c r="D326" s="1750" t="s">
        <v>290</v>
      </c>
      <c r="E326" s="1751"/>
      <c r="F326" s="1751"/>
      <c r="G326" s="1752"/>
      <c r="H326" s="835"/>
      <c r="I326" s="1327" t="e">
        <f t="shared" si="65"/>
        <v>#DIV/0!</v>
      </c>
      <c r="J326" s="736" t="s">
        <v>365</v>
      </c>
      <c r="K326" s="736" t="s">
        <v>365</v>
      </c>
      <c r="L326" s="1330" t="str">
        <f t="shared" si="66"/>
        <v>Non renseigné</v>
      </c>
      <c r="M326" s="736" t="str">
        <f t="shared" si="67"/>
        <v>-</v>
      </c>
      <c r="N326" s="822" t="e">
        <f t="shared" si="68"/>
        <v>#VALUE!</v>
      </c>
      <c r="O326" s="733" t="e">
        <f t="shared" si="69"/>
        <v>#VALUE!</v>
      </c>
      <c r="P326" s="822" t="e">
        <f t="shared" si="70"/>
        <v>#VALUE!</v>
      </c>
      <c r="Q326" s="823"/>
      <c r="R326" s="942"/>
      <c r="S326" s="402" t="e">
        <f t="shared" si="17"/>
        <v>#VALUE!</v>
      </c>
      <c r="T326" s="402" t="e">
        <f t="shared" si="18"/>
        <v>#VALUE!</v>
      </c>
      <c r="U326" s="402" t="e">
        <f t="shared" si="19"/>
        <v>#VALUE!</v>
      </c>
      <c r="V326" s="402" t="e">
        <f t="shared" si="20"/>
        <v>#VALUE!</v>
      </c>
      <c r="W326" s="402" t="e">
        <f t="shared" si="21"/>
        <v>#VALUE!</v>
      </c>
      <c r="X326" s="402" t="e">
        <f t="shared" si="22"/>
        <v>#VALUE!</v>
      </c>
      <c r="Y326" s="402" t="e">
        <f t="shared" si="23"/>
        <v>#VALUE!</v>
      </c>
      <c r="Z326" s="402" t="e">
        <f t="shared" si="24"/>
        <v>#VALUE!</v>
      </c>
      <c r="AA326" s="402" t="e">
        <f t="shared" si="25"/>
        <v>#VALUE!</v>
      </c>
      <c r="AB326" s="669" t="e">
        <f t="shared" si="26"/>
        <v>#VALUE!</v>
      </c>
      <c r="AC326" s="403"/>
    </row>
    <row r="327" spans="2:29" s="121" customFormat="1" outlineLevel="1">
      <c r="B327" s="1167"/>
      <c r="C327" s="1168"/>
      <c r="D327" s="1750" t="s">
        <v>290</v>
      </c>
      <c r="E327" s="1751"/>
      <c r="F327" s="1751"/>
      <c r="G327" s="1752"/>
      <c r="H327" s="835"/>
      <c r="I327" s="1327" t="e">
        <f t="shared" si="65"/>
        <v>#DIV/0!</v>
      </c>
      <c r="J327" s="736" t="s">
        <v>365</v>
      </c>
      <c r="K327" s="736" t="s">
        <v>365</v>
      </c>
      <c r="L327" s="1330" t="str">
        <f t="shared" si="66"/>
        <v>Non renseigné</v>
      </c>
      <c r="M327" s="736" t="str">
        <f t="shared" si="67"/>
        <v>-</v>
      </c>
      <c r="N327" s="822" t="e">
        <f t="shared" si="68"/>
        <v>#VALUE!</v>
      </c>
      <c r="O327" s="733" t="e">
        <f t="shared" si="69"/>
        <v>#VALUE!</v>
      </c>
      <c r="P327" s="822" t="e">
        <f t="shared" si="70"/>
        <v>#VALUE!</v>
      </c>
      <c r="Q327" s="823"/>
      <c r="R327" s="942"/>
      <c r="S327" s="402" t="e">
        <f t="shared" si="17"/>
        <v>#VALUE!</v>
      </c>
      <c r="T327" s="402" t="e">
        <f t="shared" si="18"/>
        <v>#VALUE!</v>
      </c>
      <c r="U327" s="402" t="e">
        <f t="shared" si="19"/>
        <v>#VALUE!</v>
      </c>
      <c r="V327" s="402" t="e">
        <f t="shared" si="20"/>
        <v>#VALUE!</v>
      </c>
      <c r="W327" s="402" t="e">
        <f t="shared" si="21"/>
        <v>#VALUE!</v>
      </c>
      <c r="X327" s="402" t="e">
        <f t="shared" si="22"/>
        <v>#VALUE!</v>
      </c>
      <c r="Y327" s="402" t="e">
        <f t="shared" si="23"/>
        <v>#VALUE!</v>
      </c>
      <c r="Z327" s="402" t="e">
        <f t="shared" si="24"/>
        <v>#VALUE!</v>
      </c>
      <c r="AA327" s="402" t="e">
        <f t="shared" si="25"/>
        <v>#VALUE!</v>
      </c>
      <c r="AB327" s="669" t="e">
        <f t="shared" si="26"/>
        <v>#VALUE!</v>
      </c>
      <c r="AC327" s="403"/>
    </row>
    <row r="328" spans="2:29" s="121" customFormat="1" outlineLevel="1">
      <c r="B328" s="1167"/>
      <c r="C328" s="1168"/>
      <c r="D328" s="1750" t="s">
        <v>290</v>
      </c>
      <c r="E328" s="1751"/>
      <c r="F328" s="1751"/>
      <c r="G328" s="1752"/>
      <c r="H328" s="835"/>
      <c r="I328" s="1327" t="e">
        <f t="shared" si="65"/>
        <v>#DIV/0!</v>
      </c>
      <c r="J328" s="736" t="s">
        <v>365</v>
      </c>
      <c r="K328" s="736" t="s">
        <v>365</v>
      </c>
      <c r="L328" s="1330" t="str">
        <f t="shared" si="66"/>
        <v>Non renseigné</v>
      </c>
      <c r="M328" s="736" t="str">
        <f t="shared" si="67"/>
        <v>-</v>
      </c>
      <c r="N328" s="822" t="e">
        <f t="shared" si="68"/>
        <v>#VALUE!</v>
      </c>
      <c r="O328" s="733" t="e">
        <f t="shared" si="69"/>
        <v>#VALUE!</v>
      </c>
      <c r="P328" s="822" t="e">
        <f t="shared" si="70"/>
        <v>#VALUE!</v>
      </c>
      <c r="Q328" s="823"/>
      <c r="R328" s="942"/>
      <c r="S328" s="402" t="e">
        <f t="shared" si="17"/>
        <v>#VALUE!</v>
      </c>
      <c r="T328" s="402" t="e">
        <f t="shared" si="18"/>
        <v>#VALUE!</v>
      </c>
      <c r="U328" s="402" t="e">
        <f t="shared" si="19"/>
        <v>#VALUE!</v>
      </c>
      <c r="V328" s="402" t="e">
        <f t="shared" si="20"/>
        <v>#VALUE!</v>
      </c>
      <c r="W328" s="402" t="e">
        <f t="shared" si="21"/>
        <v>#VALUE!</v>
      </c>
      <c r="X328" s="402" t="e">
        <f t="shared" si="22"/>
        <v>#VALUE!</v>
      </c>
      <c r="Y328" s="402" t="e">
        <f t="shared" si="23"/>
        <v>#VALUE!</v>
      </c>
      <c r="Z328" s="402" t="e">
        <f t="shared" si="24"/>
        <v>#VALUE!</v>
      </c>
      <c r="AA328" s="402" t="e">
        <f t="shared" si="25"/>
        <v>#VALUE!</v>
      </c>
      <c r="AB328" s="669" t="e">
        <f t="shared" si="26"/>
        <v>#VALUE!</v>
      </c>
      <c r="AC328" s="403"/>
    </row>
    <row r="329" spans="2:29" s="121" customFormat="1" outlineLevel="1">
      <c r="B329" s="1167"/>
      <c r="C329" s="1168"/>
      <c r="D329" s="1750" t="s">
        <v>290</v>
      </c>
      <c r="E329" s="1751"/>
      <c r="F329" s="1751"/>
      <c r="G329" s="1752"/>
      <c r="H329" s="835"/>
      <c r="I329" s="1327" t="e">
        <f t="shared" si="65"/>
        <v>#DIV/0!</v>
      </c>
      <c r="J329" s="736" t="s">
        <v>365</v>
      </c>
      <c r="K329" s="736" t="s">
        <v>365</v>
      </c>
      <c r="L329" s="1330" t="str">
        <f t="shared" si="66"/>
        <v>Non renseigné</v>
      </c>
      <c r="M329" s="736" t="str">
        <f t="shared" si="67"/>
        <v>-</v>
      </c>
      <c r="N329" s="822" t="e">
        <f t="shared" si="68"/>
        <v>#VALUE!</v>
      </c>
      <c r="O329" s="733" t="e">
        <f t="shared" si="69"/>
        <v>#VALUE!</v>
      </c>
      <c r="P329" s="822" t="e">
        <f t="shared" si="70"/>
        <v>#VALUE!</v>
      </c>
      <c r="Q329" s="823"/>
      <c r="R329" s="942"/>
      <c r="S329" s="402" t="e">
        <f t="shared" si="17"/>
        <v>#VALUE!</v>
      </c>
      <c r="T329" s="402" t="e">
        <f t="shared" si="18"/>
        <v>#VALUE!</v>
      </c>
      <c r="U329" s="402" t="e">
        <f t="shared" si="19"/>
        <v>#VALUE!</v>
      </c>
      <c r="V329" s="402" t="e">
        <f t="shared" si="20"/>
        <v>#VALUE!</v>
      </c>
      <c r="W329" s="402" t="e">
        <f t="shared" si="21"/>
        <v>#VALUE!</v>
      </c>
      <c r="X329" s="402" t="e">
        <f t="shared" si="22"/>
        <v>#VALUE!</v>
      </c>
      <c r="Y329" s="402" t="e">
        <f t="shared" si="23"/>
        <v>#VALUE!</v>
      </c>
      <c r="Z329" s="402" t="e">
        <f t="shared" si="24"/>
        <v>#VALUE!</v>
      </c>
      <c r="AA329" s="402" t="e">
        <f t="shared" si="25"/>
        <v>#VALUE!</v>
      </c>
      <c r="AB329" s="669" t="e">
        <f t="shared" si="26"/>
        <v>#VALUE!</v>
      </c>
      <c r="AC329" s="403"/>
    </row>
    <row r="330" spans="2:29" s="121" customFormat="1" outlineLevel="1">
      <c r="B330" s="1167"/>
      <c r="C330" s="1168"/>
      <c r="D330" s="1750" t="s">
        <v>290</v>
      </c>
      <c r="E330" s="1751"/>
      <c r="F330" s="1751"/>
      <c r="G330" s="1752"/>
      <c r="H330" s="835"/>
      <c r="I330" s="1327" t="e">
        <f t="shared" si="65"/>
        <v>#DIV/0!</v>
      </c>
      <c r="J330" s="736" t="s">
        <v>365</v>
      </c>
      <c r="K330" s="736" t="s">
        <v>365</v>
      </c>
      <c r="L330" s="1330" t="str">
        <f t="shared" si="66"/>
        <v>Non renseigné</v>
      </c>
      <c r="M330" s="736" t="str">
        <f t="shared" si="67"/>
        <v>-</v>
      </c>
      <c r="N330" s="822" t="e">
        <f t="shared" si="68"/>
        <v>#VALUE!</v>
      </c>
      <c r="O330" s="733" t="e">
        <f t="shared" si="69"/>
        <v>#VALUE!</v>
      </c>
      <c r="P330" s="822" t="e">
        <f t="shared" si="70"/>
        <v>#VALUE!</v>
      </c>
      <c r="Q330" s="823"/>
      <c r="R330" s="942"/>
      <c r="S330" s="402" t="e">
        <f t="shared" si="17"/>
        <v>#VALUE!</v>
      </c>
      <c r="T330" s="402" t="e">
        <f t="shared" si="18"/>
        <v>#VALUE!</v>
      </c>
      <c r="U330" s="402" t="e">
        <f t="shared" si="19"/>
        <v>#VALUE!</v>
      </c>
      <c r="V330" s="402" t="e">
        <f t="shared" si="20"/>
        <v>#VALUE!</v>
      </c>
      <c r="W330" s="402" t="e">
        <f t="shared" si="21"/>
        <v>#VALUE!</v>
      </c>
      <c r="X330" s="402" t="e">
        <f t="shared" si="22"/>
        <v>#VALUE!</v>
      </c>
      <c r="Y330" s="402" t="e">
        <f t="shared" si="23"/>
        <v>#VALUE!</v>
      </c>
      <c r="Z330" s="402" t="e">
        <f t="shared" si="24"/>
        <v>#VALUE!</v>
      </c>
      <c r="AA330" s="402" t="e">
        <f t="shared" si="25"/>
        <v>#VALUE!</v>
      </c>
      <c r="AB330" s="669" t="e">
        <f t="shared" si="26"/>
        <v>#VALUE!</v>
      </c>
      <c r="AC330" s="403"/>
    </row>
    <row r="331" spans="2:29" s="121" customFormat="1" outlineLevel="1">
      <c r="B331" s="1167"/>
      <c r="C331" s="1168"/>
      <c r="D331" s="1750" t="s">
        <v>290</v>
      </c>
      <c r="E331" s="1751"/>
      <c r="F331" s="1751"/>
      <c r="G331" s="1752"/>
      <c r="H331" s="835"/>
      <c r="I331" s="1327" t="e">
        <f t="shared" si="65"/>
        <v>#DIV/0!</v>
      </c>
      <c r="J331" s="736" t="s">
        <v>365</v>
      </c>
      <c r="K331" s="736" t="s">
        <v>365</v>
      </c>
      <c r="L331" s="1330" t="str">
        <f t="shared" si="66"/>
        <v>Non renseigné</v>
      </c>
      <c r="M331" s="736" t="str">
        <f t="shared" si="67"/>
        <v>-</v>
      </c>
      <c r="N331" s="822" t="e">
        <f t="shared" si="68"/>
        <v>#VALUE!</v>
      </c>
      <c r="O331" s="733" t="e">
        <f t="shared" si="69"/>
        <v>#VALUE!</v>
      </c>
      <c r="P331" s="822" t="e">
        <f t="shared" si="70"/>
        <v>#VALUE!</v>
      </c>
      <c r="Q331" s="823"/>
      <c r="R331" s="942"/>
      <c r="S331" s="402" t="e">
        <f t="shared" si="17"/>
        <v>#VALUE!</v>
      </c>
      <c r="T331" s="402" t="e">
        <f t="shared" si="18"/>
        <v>#VALUE!</v>
      </c>
      <c r="U331" s="402" t="e">
        <f t="shared" si="19"/>
        <v>#VALUE!</v>
      </c>
      <c r="V331" s="402" t="e">
        <f t="shared" si="20"/>
        <v>#VALUE!</v>
      </c>
      <c r="W331" s="402" t="e">
        <f t="shared" si="21"/>
        <v>#VALUE!</v>
      </c>
      <c r="X331" s="402" t="e">
        <f t="shared" si="22"/>
        <v>#VALUE!</v>
      </c>
      <c r="Y331" s="402" t="e">
        <f t="shared" si="23"/>
        <v>#VALUE!</v>
      </c>
      <c r="Z331" s="402" t="e">
        <f t="shared" si="24"/>
        <v>#VALUE!</v>
      </c>
      <c r="AA331" s="402" t="e">
        <f t="shared" si="25"/>
        <v>#VALUE!</v>
      </c>
      <c r="AB331" s="669" t="e">
        <f t="shared" si="26"/>
        <v>#VALUE!</v>
      </c>
      <c r="AC331" s="403"/>
    </row>
    <row r="332" spans="2:29" s="121" customFormat="1" outlineLevel="1">
      <c r="B332" s="1167"/>
      <c r="C332" s="1168"/>
      <c r="D332" s="1750" t="s">
        <v>290</v>
      </c>
      <c r="E332" s="1751"/>
      <c r="F332" s="1751"/>
      <c r="G332" s="1752"/>
      <c r="H332" s="835"/>
      <c r="I332" s="1327" t="e">
        <f t="shared" si="65"/>
        <v>#DIV/0!</v>
      </c>
      <c r="J332" s="736" t="s">
        <v>365</v>
      </c>
      <c r="K332" s="736" t="s">
        <v>365</v>
      </c>
      <c r="L332" s="1330" t="str">
        <f t="shared" si="66"/>
        <v>Non renseigné</v>
      </c>
      <c r="M332" s="736" t="str">
        <f t="shared" si="67"/>
        <v>-</v>
      </c>
      <c r="N332" s="822" t="e">
        <f t="shared" si="68"/>
        <v>#VALUE!</v>
      </c>
      <c r="O332" s="733" t="e">
        <f t="shared" si="69"/>
        <v>#VALUE!</v>
      </c>
      <c r="P332" s="822" t="e">
        <f t="shared" si="70"/>
        <v>#VALUE!</v>
      </c>
      <c r="Q332" s="823"/>
      <c r="R332" s="942"/>
      <c r="S332" s="402" t="e">
        <f t="shared" si="17"/>
        <v>#VALUE!</v>
      </c>
      <c r="T332" s="402" t="e">
        <f t="shared" si="18"/>
        <v>#VALUE!</v>
      </c>
      <c r="U332" s="402" t="e">
        <f t="shared" si="19"/>
        <v>#VALUE!</v>
      </c>
      <c r="V332" s="402" t="e">
        <f t="shared" si="20"/>
        <v>#VALUE!</v>
      </c>
      <c r="W332" s="402" t="e">
        <f t="shared" si="21"/>
        <v>#VALUE!</v>
      </c>
      <c r="X332" s="402" t="e">
        <f t="shared" si="22"/>
        <v>#VALUE!</v>
      </c>
      <c r="Y332" s="402" t="e">
        <f t="shared" si="23"/>
        <v>#VALUE!</v>
      </c>
      <c r="Z332" s="402" t="e">
        <f t="shared" si="24"/>
        <v>#VALUE!</v>
      </c>
      <c r="AA332" s="402" t="e">
        <f t="shared" si="25"/>
        <v>#VALUE!</v>
      </c>
      <c r="AB332" s="669" t="e">
        <f t="shared" si="26"/>
        <v>#VALUE!</v>
      </c>
      <c r="AC332" s="403"/>
    </row>
    <row r="333" spans="2:29" s="121" customFormat="1" outlineLevel="1">
      <c r="B333" s="1167"/>
      <c r="C333" s="1168"/>
      <c r="D333" s="1750" t="s">
        <v>290</v>
      </c>
      <c r="E333" s="1751"/>
      <c r="F333" s="1751"/>
      <c r="G333" s="1752"/>
      <c r="H333" s="835"/>
      <c r="I333" s="1327" t="e">
        <f t="shared" si="65"/>
        <v>#DIV/0!</v>
      </c>
      <c r="J333" s="736" t="s">
        <v>365</v>
      </c>
      <c r="K333" s="736" t="s">
        <v>365</v>
      </c>
      <c r="L333" s="1330" t="str">
        <f t="shared" si="66"/>
        <v>Non renseigné</v>
      </c>
      <c r="M333" s="736" t="str">
        <f t="shared" si="67"/>
        <v>-</v>
      </c>
      <c r="N333" s="822" t="e">
        <f t="shared" si="68"/>
        <v>#VALUE!</v>
      </c>
      <c r="O333" s="733" t="e">
        <f t="shared" si="69"/>
        <v>#VALUE!</v>
      </c>
      <c r="P333" s="822" t="e">
        <f t="shared" si="70"/>
        <v>#VALUE!</v>
      </c>
      <c r="Q333" s="823"/>
      <c r="R333" s="942"/>
      <c r="S333" s="402" t="e">
        <f t="shared" si="17"/>
        <v>#VALUE!</v>
      </c>
      <c r="T333" s="402" t="e">
        <f t="shared" si="18"/>
        <v>#VALUE!</v>
      </c>
      <c r="U333" s="402" t="e">
        <f t="shared" si="19"/>
        <v>#VALUE!</v>
      </c>
      <c r="V333" s="402" t="e">
        <f t="shared" si="20"/>
        <v>#VALUE!</v>
      </c>
      <c r="W333" s="402" t="e">
        <f t="shared" si="21"/>
        <v>#VALUE!</v>
      </c>
      <c r="X333" s="402" t="e">
        <f t="shared" si="22"/>
        <v>#VALUE!</v>
      </c>
      <c r="Y333" s="402" t="e">
        <f t="shared" si="23"/>
        <v>#VALUE!</v>
      </c>
      <c r="Z333" s="402" t="e">
        <f t="shared" si="24"/>
        <v>#VALUE!</v>
      </c>
      <c r="AA333" s="402" t="e">
        <f t="shared" si="25"/>
        <v>#VALUE!</v>
      </c>
      <c r="AB333" s="669" t="e">
        <f t="shared" si="26"/>
        <v>#VALUE!</v>
      </c>
      <c r="AC333" s="403"/>
    </row>
    <row r="334" spans="2:29" s="121" customFormat="1" outlineLevel="1">
      <c r="B334" s="1167"/>
      <c r="C334" s="1168"/>
      <c r="D334" s="1750" t="s">
        <v>290</v>
      </c>
      <c r="E334" s="1751"/>
      <c r="F334" s="1751"/>
      <c r="G334" s="1752"/>
      <c r="H334" s="835"/>
      <c r="I334" s="1327" t="e">
        <f t="shared" si="65"/>
        <v>#DIV/0!</v>
      </c>
      <c r="J334" s="736" t="s">
        <v>365</v>
      </c>
      <c r="K334" s="736" t="s">
        <v>365</v>
      </c>
      <c r="L334" s="1330" t="str">
        <f t="shared" si="66"/>
        <v>Non renseigné</v>
      </c>
      <c r="M334" s="736" t="str">
        <f t="shared" si="67"/>
        <v>-</v>
      </c>
      <c r="N334" s="822" t="e">
        <f t="shared" si="68"/>
        <v>#VALUE!</v>
      </c>
      <c r="O334" s="733" t="e">
        <f t="shared" si="69"/>
        <v>#VALUE!</v>
      </c>
      <c r="P334" s="822" t="e">
        <f t="shared" si="70"/>
        <v>#VALUE!</v>
      </c>
      <c r="Q334" s="823"/>
      <c r="R334" s="942"/>
      <c r="S334" s="402" t="e">
        <f t="shared" si="17"/>
        <v>#VALUE!</v>
      </c>
      <c r="T334" s="402" t="e">
        <f t="shared" si="18"/>
        <v>#VALUE!</v>
      </c>
      <c r="U334" s="402" t="e">
        <f t="shared" si="19"/>
        <v>#VALUE!</v>
      </c>
      <c r="V334" s="402" t="e">
        <f t="shared" si="20"/>
        <v>#VALUE!</v>
      </c>
      <c r="W334" s="402" t="e">
        <f t="shared" si="21"/>
        <v>#VALUE!</v>
      </c>
      <c r="X334" s="402" t="e">
        <f t="shared" si="22"/>
        <v>#VALUE!</v>
      </c>
      <c r="Y334" s="402" t="e">
        <f t="shared" si="23"/>
        <v>#VALUE!</v>
      </c>
      <c r="Z334" s="402" t="e">
        <f t="shared" si="24"/>
        <v>#VALUE!</v>
      </c>
      <c r="AA334" s="402" t="e">
        <f t="shared" si="25"/>
        <v>#VALUE!</v>
      </c>
      <c r="AB334" s="669" t="e">
        <f t="shared" si="26"/>
        <v>#VALUE!</v>
      </c>
      <c r="AC334" s="403"/>
    </row>
    <row r="335" spans="2:29" s="121" customFormat="1" outlineLevel="1">
      <c r="B335" s="1167"/>
      <c r="C335" s="1168"/>
      <c r="D335" s="1750" t="s">
        <v>290</v>
      </c>
      <c r="E335" s="1751"/>
      <c r="F335" s="1751"/>
      <c r="G335" s="1752"/>
      <c r="H335" s="835"/>
      <c r="I335" s="1327" t="e">
        <f t="shared" si="65"/>
        <v>#DIV/0!</v>
      </c>
      <c r="J335" s="736" t="s">
        <v>365</v>
      </c>
      <c r="K335" s="736" t="s">
        <v>365</v>
      </c>
      <c r="L335" s="1330" t="str">
        <f t="shared" si="66"/>
        <v>Non renseigné</v>
      </c>
      <c r="M335" s="736" t="str">
        <f t="shared" si="67"/>
        <v>-</v>
      </c>
      <c r="N335" s="822" t="e">
        <f t="shared" si="68"/>
        <v>#VALUE!</v>
      </c>
      <c r="O335" s="733" t="e">
        <f t="shared" si="69"/>
        <v>#VALUE!</v>
      </c>
      <c r="P335" s="822" t="e">
        <f t="shared" si="70"/>
        <v>#VALUE!</v>
      </c>
      <c r="Q335" s="823"/>
      <c r="R335" s="942"/>
      <c r="S335" s="402" t="e">
        <f t="shared" si="17"/>
        <v>#VALUE!</v>
      </c>
      <c r="T335" s="402" t="e">
        <f t="shared" si="18"/>
        <v>#VALUE!</v>
      </c>
      <c r="U335" s="402" t="e">
        <f t="shared" si="19"/>
        <v>#VALUE!</v>
      </c>
      <c r="V335" s="402" t="e">
        <f t="shared" si="20"/>
        <v>#VALUE!</v>
      </c>
      <c r="W335" s="402" t="e">
        <f t="shared" si="21"/>
        <v>#VALUE!</v>
      </c>
      <c r="X335" s="402" t="e">
        <f t="shared" si="22"/>
        <v>#VALUE!</v>
      </c>
      <c r="Y335" s="402" t="e">
        <f t="shared" si="23"/>
        <v>#VALUE!</v>
      </c>
      <c r="Z335" s="402" t="e">
        <f t="shared" si="24"/>
        <v>#VALUE!</v>
      </c>
      <c r="AA335" s="402" t="e">
        <f t="shared" si="25"/>
        <v>#VALUE!</v>
      </c>
      <c r="AB335" s="669" t="e">
        <f t="shared" si="26"/>
        <v>#VALUE!</v>
      </c>
      <c r="AC335" s="403"/>
    </row>
    <row r="336" spans="2:29" s="121" customFormat="1" outlineLevel="1">
      <c r="B336" s="1167"/>
      <c r="C336" s="1168"/>
      <c r="D336" s="1750" t="s">
        <v>290</v>
      </c>
      <c r="E336" s="1751"/>
      <c r="F336" s="1751"/>
      <c r="G336" s="1752"/>
      <c r="H336" s="835"/>
      <c r="I336" s="1327" t="e">
        <f t="shared" si="65"/>
        <v>#DIV/0!</v>
      </c>
      <c r="J336" s="736" t="s">
        <v>365</v>
      </c>
      <c r="K336" s="736" t="s">
        <v>365</v>
      </c>
      <c r="L336" s="1330" t="str">
        <f t="shared" si="66"/>
        <v>Non renseigné</v>
      </c>
      <c r="M336" s="736" t="str">
        <f t="shared" si="67"/>
        <v>-</v>
      </c>
      <c r="N336" s="822" t="e">
        <f t="shared" si="68"/>
        <v>#VALUE!</v>
      </c>
      <c r="O336" s="733" t="e">
        <f t="shared" si="69"/>
        <v>#VALUE!</v>
      </c>
      <c r="P336" s="822" t="e">
        <f t="shared" si="70"/>
        <v>#VALUE!</v>
      </c>
      <c r="Q336" s="823"/>
      <c r="R336" s="942"/>
      <c r="S336" s="402" t="e">
        <f t="shared" si="17"/>
        <v>#VALUE!</v>
      </c>
      <c r="T336" s="402" t="e">
        <f t="shared" si="18"/>
        <v>#VALUE!</v>
      </c>
      <c r="U336" s="402" t="e">
        <f t="shared" si="19"/>
        <v>#VALUE!</v>
      </c>
      <c r="V336" s="402" t="e">
        <f t="shared" si="20"/>
        <v>#VALUE!</v>
      </c>
      <c r="W336" s="402" t="e">
        <f t="shared" si="21"/>
        <v>#VALUE!</v>
      </c>
      <c r="X336" s="402" t="e">
        <f t="shared" si="22"/>
        <v>#VALUE!</v>
      </c>
      <c r="Y336" s="402" t="e">
        <f t="shared" si="23"/>
        <v>#VALUE!</v>
      </c>
      <c r="Z336" s="402" t="e">
        <f t="shared" si="24"/>
        <v>#VALUE!</v>
      </c>
      <c r="AA336" s="402" t="e">
        <f t="shared" si="25"/>
        <v>#VALUE!</v>
      </c>
      <c r="AB336" s="669" t="e">
        <f t="shared" si="26"/>
        <v>#VALUE!</v>
      </c>
      <c r="AC336" s="403"/>
    </row>
    <row r="337" spans="2:29" s="121" customFormat="1" outlineLevel="1">
      <c r="B337" s="1167"/>
      <c r="C337" s="1168"/>
      <c r="D337" s="1750" t="s">
        <v>290</v>
      </c>
      <c r="E337" s="1751"/>
      <c r="F337" s="1751"/>
      <c r="G337" s="1752"/>
      <c r="H337" s="835"/>
      <c r="I337" s="1327" t="e">
        <f t="shared" si="65"/>
        <v>#DIV/0!</v>
      </c>
      <c r="J337" s="736" t="s">
        <v>365</v>
      </c>
      <c r="K337" s="736" t="s">
        <v>365</v>
      </c>
      <c r="L337" s="1330" t="str">
        <f t="shared" si="66"/>
        <v>Non renseigné</v>
      </c>
      <c r="M337" s="736" t="str">
        <f t="shared" si="67"/>
        <v>-</v>
      </c>
      <c r="N337" s="822" t="e">
        <f t="shared" si="68"/>
        <v>#VALUE!</v>
      </c>
      <c r="O337" s="733" t="e">
        <f t="shared" si="69"/>
        <v>#VALUE!</v>
      </c>
      <c r="P337" s="822" t="e">
        <f t="shared" si="70"/>
        <v>#VALUE!</v>
      </c>
      <c r="Q337" s="823"/>
      <c r="R337" s="942"/>
      <c r="S337" s="402" t="e">
        <f t="shared" si="17"/>
        <v>#VALUE!</v>
      </c>
      <c r="T337" s="402" t="e">
        <f t="shared" si="18"/>
        <v>#VALUE!</v>
      </c>
      <c r="U337" s="402" t="e">
        <f t="shared" si="19"/>
        <v>#VALUE!</v>
      </c>
      <c r="V337" s="402" t="e">
        <f t="shared" si="20"/>
        <v>#VALUE!</v>
      </c>
      <c r="W337" s="402" t="e">
        <f t="shared" si="21"/>
        <v>#VALUE!</v>
      </c>
      <c r="X337" s="402" t="e">
        <f t="shared" si="22"/>
        <v>#VALUE!</v>
      </c>
      <c r="Y337" s="402" t="e">
        <f t="shared" si="23"/>
        <v>#VALUE!</v>
      </c>
      <c r="Z337" s="402" t="e">
        <f t="shared" si="24"/>
        <v>#VALUE!</v>
      </c>
      <c r="AA337" s="402" t="e">
        <f t="shared" si="25"/>
        <v>#VALUE!</v>
      </c>
      <c r="AB337" s="669" t="e">
        <f t="shared" si="26"/>
        <v>#VALUE!</v>
      </c>
      <c r="AC337" s="403"/>
    </row>
    <row r="338" spans="2:29" s="121" customFormat="1" outlineLevel="1">
      <c r="B338" s="1167"/>
      <c r="C338" s="1168"/>
      <c r="D338" s="1750" t="s">
        <v>290</v>
      </c>
      <c r="E338" s="1751"/>
      <c r="F338" s="1751"/>
      <c r="G338" s="1752"/>
      <c r="H338" s="835"/>
      <c r="I338" s="1327" t="e">
        <f t="shared" si="65"/>
        <v>#DIV/0!</v>
      </c>
      <c r="J338" s="736" t="s">
        <v>365</v>
      </c>
      <c r="K338" s="736" t="s">
        <v>365</v>
      </c>
      <c r="L338" s="1330" t="str">
        <f t="shared" si="66"/>
        <v>Non renseigné</v>
      </c>
      <c r="M338" s="736" t="str">
        <f t="shared" si="67"/>
        <v>-</v>
      </c>
      <c r="N338" s="822" t="e">
        <f t="shared" si="68"/>
        <v>#VALUE!</v>
      </c>
      <c r="O338" s="733" t="e">
        <f t="shared" si="69"/>
        <v>#VALUE!</v>
      </c>
      <c r="P338" s="822" t="e">
        <f t="shared" si="70"/>
        <v>#VALUE!</v>
      </c>
      <c r="Q338" s="823"/>
      <c r="R338" s="942"/>
      <c r="S338" s="402" t="e">
        <f t="shared" si="17"/>
        <v>#VALUE!</v>
      </c>
      <c r="T338" s="402" t="e">
        <f t="shared" si="18"/>
        <v>#VALUE!</v>
      </c>
      <c r="U338" s="402" t="e">
        <f t="shared" si="19"/>
        <v>#VALUE!</v>
      </c>
      <c r="V338" s="402" t="e">
        <f t="shared" si="20"/>
        <v>#VALUE!</v>
      </c>
      <c r="W338" s="402" t="e">
        <f t="shared" si="21"/>
        <v>#VALUE!</v>
      </c>
      <c r="X338" s="402" t="e">
        <f t="shared" si="22"/>
        <v>#VALUE!</v>
      </c>
      <c r="Y338" s="402" t="e">
        <f t="shared" si="23"/>
        <v>#VALUE!</v>
      </c>
      <c r="Z338" s="402" t="e">
        <f t="shared" si="24"/>
        <v>#VALUE!</v>
      </c>
      <c r="AA338" s="402" t="e">
        <f t="shared" si="25"/>
        <v>#VALUE!</v>
      </c>
      <c r="AB338" s="669" t="e">
        <f t="shared" si="26"/>
        <v>#VALUE!</v>
      </c>
      <c r="AC338" s="403"/>
    </row>
    <row r="339" spans="2:29" s="121" customFormat="1" outlineLevel="1">
      <c r="B339" s="1167"/>
      <c r="C339" s="1168"/>
      <c r="D339" s="1750" t="s">
        <v>290</v>
      </c>
      <c r="E339" s="1751"/>
      <c r="F339" s="1751"/>
      <c r="G339" s="1752"/>
      <c r="H339" s="835"/>
      <c r="I339" s="1327" t="e">
        <f t="shared" si="65"/>
        <v>#DIV/0!</v>
      </c>
      <c r="J339" s="736" t="s">
        <v>365</v>
      </c>
      <c r="K339" s="736" t="s">
        <v>365</v>
      </c>
      <c r="L339" s="1330" t="str">
        <f t="shared" si="66"/>
        <v>Non renseigné</v>
      </c>
      <c r="M339" s="736" t="str">
        <f t="shared" si="67"/>
        <v>-</v>
      </c>
      <c r="N339" s="822" t="e">
        <f t="shared" si="68"/>
        <v>#VALUE!</v>
      </c>
      <c r="O339" s="733" t="e">
        <f t="shared" si="69"/>
        <v>#VALUE!</v>
      </c>
      <c r="P339" s="822" t="e">
        <f t="shared" si="70"/>
        <v>#VALUE!</v>
      </c>
      <c r="Q339" s="823"/>
      <c r="R339" s="942"/>
      <c r="S339" s="402" t="e">
        <f t="shared" si="17"/>
        <v>#VALUE!</v>
      </c>
      <c r="T339" s="402" t="e">
        <f t="shared" si="18"/>
        <v>#VALUE!</v>
      </c>
      <c r="U339" s="402" t="e">
        <f t="shared" si="19"/>
        <v>#VALUE!</v>
      </c>
      <c r="V339" s="402" t="e">
        <f t="shared" si="20"/>
        <v>#VALUE!</v>
      </c>
      <c r="W339" s="402" t="e">
        <f t="shared" si="21"/>
        <v>#VALUE!</v>
      </c>
      <c r="X339" s="402" t="e">
        <f t="shared" si="22"/>
        <v>#VALUE!</v>
      </c>
      <c r="Y339" s="402" t="e">
        <f t="shared" si="23"/>
        <v>#VALUE!</v>
      </c>
      <c r="Z339" s="402" t="e">
        <f t="shared" si="24"/>
        <v>#VALUE!</v>
      </c>
      <c r="AA339" s="402" t="e">
        <f t="shared" si="25"/>
        <v>#VALUE!</v>
      </c>
      <c r="AB339" s="669" t="e">
        <f t="shared" si="26"/>
        <v>#VALUE!</v>
      </c>
      <c r="AC339" s="403"/>
    </row>
    <row r="340" spans="2:29" s="121" customFormat="1" outlineLevel="1">
      <c r="B340" s="1167"/>
      <c r="C340" s="1168"/>
      <c r="D340" s="1750" t="s">
        <v>290</v>
      </c>
      <c r="E340" s="1751"/>
      <c r="F340" s="1751"/>
      <c r="G340" s="1752"/>
      <c r="H340" s="835"/>
      <c r="I340" s="1327" t="e">
        <f t="shared" si="65"/>
        <v>#DIV/0!</v>
      </c>
      <c r="J340" s="736" t="s">
        <v>365</v>
      </c>
      <c r="K340" s="736" t="s">
        <v>365</v>
      </c>
      <c r="L340" s="1330" t="str">
        <f t="shared" si="66"/>
        <v>Non renseigné</v>
      </c>
      <c r="M340" s="736" t="str">
        <f t="shared" si="67"/>
        <v>-</v>
      </c>
      <c r="N340" s="822" t="e">
        <f t="shared" si="68"/>
        <v>#VALUE!</v>
      </c>
      <c r="O340" s="733" t="e">
        <f t="shared" si="69"/>
        <v>#VALUE!</v>
      </c>
      <c r="P340" s="822" t="e">
        <f t="shared" si="70"/>
        <v>#VALUE!</v>
      </c>
      <c r="Q340" s="823"/>
      <c r="R340" s="942"/>
      <c r="S340" s="402" t="e">
        <f t="shared" si="17"/>
        <v>#VALUE!</v>
      </c>
      <c r="T340" s="402" t="e">
        <f t="shared" si="18"/>
        <v>#VALUE!</v>
      </c>
      <c r="U340" s="402" t="e">
        <f t="shared" si="19"/>
        <v>#VALUE!</v>
      </c>
      <c r="V340" s="402" t="e">
        <f t="shared" si="20"/>
        <v>#VALUE!</v>
      </c>
      <c r="W340" s="402" t="e">
        <f t="shared" si="21"/>
        <v>#VALUE!</v>
      </c>
      <c r="X340" s="402" t="e">
        <f t="shared" si="22"/>
        <v>#VALUE!</v>
      </c>
      <c r="Y340" s="402" t="e">
        <f t="shared" si="23"/>
        <v>#VALUE!</v>
      </c>
      <c r="Z340" s="402" t="e">
        <f t="shared" si="24"/>
        <v>#VALUE!</v>
      </c>
      <c r="AA340" s="402" t="e">
        <f t="shared" si="25"/>
        <v>#VALUE!</v>
      </c>
      <c r="AB340" s="669" t="e">
        <f t="shared" si="26"/>
        <v>#VALUE!</v>
      </c>
      <c r="AC340" s="403"/>
    </row>
    <row r="341" spans="2:29" s="121" customFormat="1" outlineLevel="1">
      <c r="B341" s="1167"/>
      <c r="C341" s="1168"/>
      <c r="D341" s="1750" t="s">
        <v>290</v>
      </c>
      <c r="E341" s="1751"/>
      <c r="F341" s="1751"/>
      <c r="G341" s="1752"/>
      <c r="H341" s="835"/>
      <c r="I341" s="1327" t="e">
        <f t="shared" si="65"/>
        <v>#DIV/0!</v>
      </c>
      <c r="J341" s="736" t="s">
        <v>365</v>
      </c>
      <c r="K341" s="736" t="s">
        <v>365</v>
      </c>
      <c r="L341" s="1330" t="str">
        <f t="shared" si="66"/>
        <v>Non renseigné</v>
      </c>
      <c r="M341" s="736" t="str">
        <f t="shared" si="67"/>
        <v>-</v>
      </c>
      <c r="N341" s="822" t="e">
        <f t="shared" si="68"/>
        <v>#VALUE!</v>
      </c>
      <c r="O341" s="733" t="e">
        <f t="shared" si="69"/>
        <v>#VALUE!</v>
      </c>
      <c r="P341" s="822" t="e">
        <f t="shared" si="70"/>
        <v>#VALUE!</v>
      </c>
      <c r="Q341" s="823"/>
      <c r="R341" s="942"/>
      <c r="S341" s="402" t="e">
        <f t="shared" si="17"/>
        <v>#VALUE!</v>
      </c>
      <c r="T341" s="402" t="e">
        <f t="shared" si="18"/>
        <v>#VALUE!</v>
      </c>
      <c r="U341" s="402" t="e">
        <f t="shared" si="19"/>
        <v>#VALUE!</v>
      </c>
      <c r="V341" s="402" t="e">
        <f t="shared" si="20"/>
        <v>#VALUE!</v>
      </c>
      <c r="W341" s="402" t="e">
        <f t="shared" si="21"/>
        <v>#VALUE!</v>
      </c>
      <c r="X341" s="402" t="e">
        <f t="shared" si="22"/>
        <v>#VALUE!</v>
      </c>
      <c r="Y341" s="402" t="e">
        <f t="shared" si="23"/>
        <v>#VALUE!</v>
      </c>
      <c r="Z341" s="402" t="e">
        <f t="shared" si="24"/>
        <v>#VALUE!</v>
      </c>
      <c r="AA341" s="402" t="e">
        <f t="shared" si="25"/>
        <v>#VALUE!</v>
      </c>
      <c r="AB341" s="669" t="e">
        <f t="shared" si="26"/>
        <v>#VALUE!</v>
      </c>
      <c r="AC341" s="403"/>
    </row>
    <row r="342" spans="2:29" s="121" customFormat="1" outlineLevel="1">
      <c r="B342" s="1167"/>
      <c r="C342" s="1168"/>
      <c r="D342" s="1750" t="s">
        <v>290</v>
      </c>
      <c r="E342" s="1751"/>
      <c r="F342" s="1751"/>
      <c r="G342" s="1752"/>
      <c r="H342" s="835"/>
      <c r="I342" s="1327" t="e">
        <f t="shared" si="65"/>
        <v>#DIV/0!</v>
      </c>
      <c r="J342" s="736" t="s">
        <v>365</v>
      </c>
      <c r="K342" s="736" t="s">
        <v>365</v>
      </c>
      <c r="L342" s="1330" t="str">
        <f t="shared" si="66"/>
        <v>Non renseigné</v>
      </c>
      <c r="M342" s="736" t="str">
        <f t="shared" si="67"/>
        <v>-</v>
      </c>
      <c r="N342" s="822" t="e">
        <f t="shared" si="68"/>
        <v>#VALUE!</v>
      </c>
      <c r="O342" s="733" t="e">
        <f t="shared" si="69"/>
        <v>#VALUE!</v>
      </c>
      <c r="P342" s="822" t="e">
        <f t="shared" si="70"/>
        <v>#VALUE!</v>
      </c>
      <c r="Q342" s="823"/>
      <c r="R342" s="942"/>
      <c r="S342" s="402" t="e">
        <f t="shared" si="17"/>
        <v>#VALUE!</v>
      </c>
      <c r="T342" s="402" t="e">
        <f t="shared" si="18"/>
        <v>#VALUE!</v>
      </c>
      <c r="U342" s="402" t="e">
        <f t="shared" si="19"/>
        <v>#VALUE!</v>
      </c>
      <c r="V342" s="402" t="e">
        <f t="shared" si="20"/>
        <v>#VALUE!</v>
      </c>
      <c r="W342" s="402" t="e">
        <f t="shared" si="21"/>
        <v>#VALUE!</v>
      </c>
      <c r="X342" s="402" t="e">
        <f t="shared" si="22"/>
        <v>#VALUE!</v>
      </c>
      <c r="Y342" s="402" t="e">
        <f t="shared" si="23"/>
        <v>#VALUE!</v>
      </c>
      <c r="Z342" s="402" t="e">
        <f t="shared" si="24"/>
        <v>#VALUE!</v>
      </c>
      <c r="AA342" s="402" t="e">
        <f t="shared" si="25"/>
        <v>#VALUE!</v>
      </c>
      <c r="AB342" s="669" t="e">
        <f t="shared" si="26"/>
        <v>#VALUE!</v>
      </c>
      <c r="AC342" s="403"/>
    </row>
    <row r="343" spans="2:29" s="121" customFormat="1" outlineLevel="1">
      <c r="B343" s="1167"/>
      <c r="C343" s="1168"/>
      <c r="D343" s="1750" t="s">
        <v>290</v>
      </c>
      <c r="E343" s="1751"/>
      <c r="F343" s="1751"/>
      <c r="G343" s="1752"/>
      <c r="H343" s="835"/>
      <c r="I343" s="1327" t="e">
        <f t="shared" si="65"/>
        <v>#DIV/0!</v>
      </c>
      <c r="J343" s="736" t="s">
        <v>365</v>
      </c>
      <c r="K343" s="736" t="s">
        <v>365</v>
      </c>
      <c r="L343" s="1330" t="str">
        <f t="shared" si="66"/>
        <v>Non renseigné</v>
      </c>
      <c r="M343" s="736" t="str">
        <f t="shared" si="67"/>
        <v>-</v>
      </c>
      <c r="N343" s="822" t="e">
        <f t="shared" si="68"/>
        <v>#VALUE!</v>
      </c>
      <c r="O343" s="733" t="e">
        <f t="shared" si="69"/>
        <v>#VALUE!</v>
      </c>
      <c r="P343" s="822" t="e">
        <f t="shared" si="70"/>
        <v>#VALUE!</v>
      </c>
      <c r="Q343" s="823"/>
      <c r="R343" s="942"/>
      <c r="S343" s="402" t="e">
        <f t="shared" si="17"/>
        <v>#VALUE!</v>
      </c>
      <c r="T343" s="402" t="e">
        <f t="shared" si="18"/>
        <v>#VALUE!</v>
      </c>
      <c r="U343" s="402" t="e">
        <f t="shared" si="19"/>
        <v>#VALUE!</v>
      </c>
      <c r="V343" s="402" t="e">
        <f t="shared" si="20"/>
        <v>#VALUE!</v>
      </c>
      <c r="W343" s="402" t="e">
        <f t="shared" si="21"/>
        <v>#VALUE!</v>
      </c>
      <c r="X343" s="402" t="e">
        <f t="shared" si="22"/>
        <v>#VALUE!</v>
      </c>
      <c r="Y343" s="402" t="e">
        <f t="shared" si="23"/>
        <v>#VALUE!</v>
      </c>
      <c r="Z343" s="402" t="e">
        <f t="shared" si="24"/>
        <v>#VALUE!</v>
      </c>
      <c r="AA343" s="402" t="e">
        <f t="shared" si="25"/>
        <v>#VALUE!</v>
      </c>
      <c r="AB343" s="669" t="e">
        <f t="shared" si="26"/>
        <v>#VALUE!</v>
      </c>
      <c r="AC343" s="403"/>
    </row>
    <row r="344" spans="2:29" s="121" customFormat="1" outlineLevel="1">
      <c r="B344" s="1167"/>
      <c r="C344" s="1168"/>
      <c r="D344" s="1750" t="s">
        <v>290</v>
      </c>
      <c r="E344" s="1751"/>
      <c r="F344" s="1751"/>
      <c r="G344" s="1752"/>
      <c r="H344" s="835"/>
      <c r="I344" s="1327" t="e">
        <f t="shared" si="65"/>
        <v>#DIV/0!</v>
      </c>
      <c r="J344" s="736" t="s">
        <v>365</v>
      </c>
      <c r="K344" s="736" t="s">
        <v>365</v>
      </c>
      <c r="L344" s="1330" t="str">
        <f t="shared" si="66"/>
        <v>Non renseigné</v>
      </c>
      <c r="M344" s="736" t="str">
        <f t="shared" si="67"/>
        <v>-</v>
      </c>
      <c r="N344" s="822" t="e">
        <f t="shared" si="68"/>
        <v>#VALUE!</v>
      </c>
      <c r="O344" s="733" t="e">
        <f t="shared" si="69"/>
        <v>#VALUE!</v>
      </c>
      <c r="P344" s="822" t="e">
        <f t="shared" si="70"/>
        <v>#VALUE!</v>
      </c>
      <c r="Q344" s="823"/>
      <c r="R344" s="942"/>
      <c r="S344" s="402" t="e">
        <f t="shared" si="17"/>
        <v>#VALUE!</v>
      </c>
      <c r="T344" s="402" t="e">
        <f t="shared" si="18"/>
        <v>#VALUE!</v>
      </c>
      <c r="U344" s="402" t="e">
        <f t="shared" si="19"/>
        <v>#VALUE!</v>
      </c>
      <c r="V344" s="402" t="e">
        <f t="shared" si="20"/>
        <v>#VALUE!</v>
      </c>
      <c r="W344" s="402" t="e">
        <f t="shared" si="21"/>
        <v>#VALUE!</v>
      </c>
      <c r="X344" s="402" t="e">
        <f t="shared" si="22"/>
        <v>#VALUE!</v>
      </c>
      <c r="Y344" s="402" t="e">
        <f t="shared" si="23"/>
        <v>#VALUE!</v>
      </c>
      <c r="Z344" s="402" t="e">
        <f t="shared" si="24"/>
        <v>#VALUE!</v>
      </c>
      <c r="AA344" s="402" t="e">
        <f t="shared" si="25"/>
        <v>#VALUE!</v>
      </c>
      <c r="AB344" s="669" t="e">
        <f t="shared" si="26"/>
        <v>#VALUE!</v>
      </c>
      <c r="AC344" s="403"/>
    </row>
    <row r="345" spans="2:29" s="121" customFormat="1" outlineLevel="1">
      <c r="B345" s="1167"/>
      <c r="C345" s="1168"/>
      <c r="D345" s="1750" t="s">
        <v>290</v>
      </c>
      <c r="E345" s="1751"/>
      <c r="F345" s="1751"/>
      <c r="G345" s="1752"/>
      <c r="H345" s="835"/>
      <c r="I345" s="1327" t="e">
        <f t="shared" si="65"/>
        <v>#DIV/0!</v>
      </c>
      <c r="J345" s="736" t="s">
        <v>365</v>
      </c>
      <c r="K345" s="736" t="s">
        <v>365</v>
      </c>
      <c r="L345" s="1330" t="str">
        <f t="shared" si="66"/>
        <v>Non renseigné</v>
      </c>
      <c r="M345" s="736" t="str">
        <f t="shared" si="67"/>
        <v>-</v>
      </c>
      <c r="N345" s="822" t="e">
        <f t="shared" si="68"/>
        <v>#VALUE!</v>
      </c>
      <c r="O345" s="733" t="e">
        <f t="shared" si="69"/>
        <v>#VALUE!</v>
      </c>
      <c r="P345" s="822" t="e">
        <f t="shared" si="70"/>
        <v>#VALUE!</v>
      </c>
      <c r="Q345" s="823"/>
      <c r="R345" s="942"/>
      <c r="S345" s="402" t="e">
        <f t="shared" si="17"/>
        <v>#VALUE!</v>
      </c>
      <c r="T345" s="402" t="e">
        <f t="shared" si="18"/>
        <v>#VALUE!</v>
      </c>
      <c r="U345" s="402" t="e">
        <f t="shared" si="19"/>
        <v>#VALUE!</v>
      </c>
      <c r="V345" s="402" t="e">
        <f t="shared" si="20"/>
        <v>#VALUE!</v>
      </c>
      <c r="W345" s="402" t="e">
        <f t="shared" si="21"/>
        <v>#VALUE!</v>
      </c>
      <c r="X345" s="402" t="e">
        <f t="shared" si="22"/>
        <v>#VALUE!</v>
      </c>
      <c r="Y345" s="402" t="e">
        <f t="shared" si="23"/>
        <v>#VALUE!</v>
      </c>
      <c r="Z345" s="402" t="e">
        <f t="shared" si="24"/>
        <v>#VALUE!</v>
      </c>
      <c r="AA345" s="402" t="e">
        <f t="shared" si="25"/>
        <v>#VALUE!</v>
      </c>
      <c r="AB345" s="669" t="e">
        <f t="shared" si="26"/>
        <v>#VALUE!</v>
      </c>
      <c r="AC345" s="403"/>
    </row>
    <row r="346" spans="2:29" s="121" customFormat="1" outlineLevel="1">
      <c r="B346" s="1167"/>
      <c r="C346" s="1168"/>
      <c r="D346" s="1750" t="s">
        <v>290</v>
      </c>
      <c r="E346" s="1751"/>
      <c r="F346" s="1751"/>
      <c r="G346" s="1752"/>
      <c r="H346" s="835"/>
      <c r="I346" s="1327" t="e">
        <f t="shared" si="65"/>
        <v>#DIV/0!</v>
      </c>
      <c r="J346" s="736" t="s">
        <v>365</v>
      </c>
      <c r="K346" s="736" t="s">
        <v>365</v>
      </c>
      <c r="L346" s="1330" t="str">
        <f t="shared" si="66"/>
        <v>Non renseigné</v>
      </c>
      <c r="M346" s="736" t="str">
        <f t="shared" si="67"/>
        <v>-</v>
      </c>
      <c r="N346" s="822" t="e">
        <f t="shared" si="68"/>
        <v>#VALUE!</v>
      </c>
      <c r="O346" s="733" t="e">
        <f t="shared" si="69"/>
        <v>#VALUE!</v>
      </c>
      <c r="P346" s="822" t="e">
        <f t="shared" si="70"/>
        <v>#VALUE!</v>
      </c>
      <c r="Q346" s="823"/>
      <c r="R346" s="942"/>
      <c r="S346" s="402" t="e">
        <f t="shared" si="17"/>
        <v>#VALUE!</v>
      </c>
      <c r="T346" s="402" t="e">
        <f t="shared" si="18"/>
        <v>#VALUE!</v>
      </c>
      <c r="U346" s="402" t="e">
        <f t="shared" si="19"/>
        <v>#VALUE!</v>
      </c>
      <c r="V346" s="402" t="e">
        <f t="shared" si="20"/>
        <v>#VALUE!</v>
      </c>
      <c r="W346" s="402" t="e">
        <f t="shared" si="21"/>
        <v>#VALUE!</v>
      </c>
      <c r="X346" s="402" t="e">
        <f t="shared" si="22"/>
        <v>#VALUE!</v>
      </c>
      <c r="Y346" s="402" t="e">
        <f t="shared" si="23"/>
        <v>#VALUE!</v>
      </c>
      <c r="Z346" s="402" t="e">
        <f t="shared" si="24"/>
        <v>#VALUE!</v>
      </c>
      <c r="AA346" s="402" t="e">
        <f t="shared" si="25"/>
        <v>#VALUE!</v>
      </c>
      <c r="AB346" s="669" t="e">
        <f t="shared" si="26"/>
        <v>#VALUE!</v>
      </c>
      <c r="AC346" s="403"/>
    </row>
    <row r="347" spans="2:29" s="121" customFormat="1" outlineLevel="1">
      <c r="B347" s="1167"/>
      <c r="C347" s="1168"/>
      <c r="D347" s="1750" t="s">
        <v>290</v>
      </c>
      <c r="E347" s="1751"/>
      <c r="F347" s="1751"/>
      <c r="G347" s="1752"/>
      <c r="H347" s="835"/>
      <c r="I347" s="1327" t="e">
        <f t="shared" si="65"/>
        <v>#DIV/0!</v>
      </c>
      <c r="J347" s="736" t="s">
        <v>365</v>
      </c>
      <c r="K347" s="736" t="s">
        <v>365</v>
      </c>
      <c r="L347" s="1330" t="str">
        <f t="shared" si="66"/>
        <v>Non renseigné</v>
      </c>
      <c r="M347" s="736" t="str">
        <f t="shared" si="67"/>
        <v>-</v>
      </c>
      <c r="N347" s="822" t="e">
        <f t="shared" si="68"/>
        <v>#VALUE!</v>
      </c>
      <c r="O347" s="733" t="e">
        <f t="shared" si="69"/>
        <v>#VALUE!</v>
      </c>
      <c r="P347" s="822" t="e">
        <f t="shared" si="70"/>
        <v>#VALUE!</v>
      </c>
      <c r="Q347" s="823"/>
      <c r="R347" s="942"/>
      <c r="S347" s="402" t="e">
        <f t="shared" si="17"/>
        <v>#VALUE!</v>
      </c>
      <c r="T347" s="402" t="e">
        <f t="shared" si="18"/>
        <v>#VALUE!</v>
      </c>
      <c r="U347" s="402" t="e">
        <f t="shared" si="19"/>
        <v>#VALUE!</v>
      </c>
      <c r="V347" s="402" t="e">
        <f t="shared" si="20"/>
        <v>#VALUE!</v>
      </c>
      <c r="W347" s="402" t="e">
        <f t="shared" si="21"/>
        <v>#VALUE!</v>
      </c>
      <c r="X347" s="402" t="e">
        <f t="shared" si="22"/>
        <v>#VALUE!</v>
      </c>
      <c r="Y347" s="402" t="e">
        <f t="shared" si="23"/>
        <v>#VALUE!</v>
      </c>
      <c r="Z347" s="402" t="e">
        <f t="shared" si="24"/>
        <v>#VALUE!</v>
      </c>
      <c r="AA347" s="402" t="e">
        <f t="shared" si="25"/>
        <v>#VALUE!</v>
      </c>
      <c r="AB347" s="669" t="e">
        <f t="shared" si="26"/>
        <v>#VALUE!</v>
      </c>
      <c r="AC347" s="403"/>
    </row>
    <row r="348" spans="2:29" s="121" customFormat="1" outlineLevel="1">
      <c r="B348" s="1167"/>
      <c r="C348" s="1168"/>
      <c r="D348" s="1750" t="s">
        <v>290</v>
      </c>
      <c r="E348" s="1751"/>
      <c r="F348" s="1751"/>
      <c r="G348" s="1752"/>
      <c r="H348" s="835"/>
      <c r="I348" s="1327" t="e">
        <f t="shared" si="65"/>
        <v>#DIV/0!</v>
      </c>
      <c r="J348" s="736" t="s">
        <v>365</v>
      </c>
      <c r="K348" s="736" t="s">
        <v>365</v>
      </c>
      <c r="L348" s="1330" t="str">
        <f t="shared" si="66"/>
        <v>Non renseigné</v>
      </c>
      <c r="M348" s="736" t="str">
        <f t="shared" si="67"/>
        <v>-</v>
      </c>
      <c r="N348" s="822" t="e">
        <f t="shared" si="68"/>
        <v>#VALUE!</v>
      </c>
      <c r="O348" s="733" t="e">
        <f t="shared" si="69"/>
        <v>#VALUE!</v>
      </c>
      <c r="P348" s="822" t="e">
        <f t="shared" si="70"/>
        <v>#VALUE!</v>
      </c>
      <c r="Q348" s="823"/>
      <c r="R348" s="942"/>
      <c r="S348" s="402" t="e">
        <f t="shared" si="17"/>
        <v>#VALUE!</v>
      </c>
      <c r="T348" s="402" t="e">
        <f t="shared" si="18"/>
        <v>#VALUE!</v>
      </c>
      <c r="U348" s="402" t="e">
        <f t="shared" si="19"/>
        <v>#VALUE!</v>
      </c>
      <c r="V348" s="402" t="e">
        <f t="shared" si="20"/>
        <v>#VALUE!</v>
      </c>
      <c r="W348" s="402" t="e">
        <f t="shared" si="21"/>
        <v>#VALUE!</v>
      </c>
      <c r="X348" s="402" t="e">
        <f t="shared" si="22"/>
        <v>#VALUE!</v>
      </c>
      <c r="Y348" s="402" t="e">
        <f t="shared" si="23"/>
        <v>#VALUE!</v>
      </c>
      <c r="Z348" s="402" t="e">
        <f t="shared" si="24"/>
        <v>#VALUE!</v>
      </c>
      <c r="AA348" s="402" t="e">
        <f t="shared" si="25"/>
        <v>#VALUE!</v>
      </c>
      <c r="AB348" s="669" t="e">
        <f t="shared" si="26"/>
        <v>#VALUE!</v>
      </c>
      <c r="AC348" s="403"/>
    </row>
    <row r="349" spans="2:29" s="121" customFormat="1" outlineLevel="1">
      <c r="B349" s="1167"/>
      <c r="C349" s="1168"/>
      <c r="D349" s="1750" t="s">
        <v>290</v>
      </c>
      <c r="E349" s="1751"/>
      <c r="F349" s="1751"/>
      <c r="G349" s="1752"/>
      <c r="H349" s="835"/>
      <c r="I349" s="1327" t="e">
        <f t="shared" si="65"/>
        <v>#DIV/0!</v>
      </c>
      <c r="J349" s="736" t="s">
        <v>365</v>
      </c>
      <c r="K349" s="736" t="s">
        <v>365</v>
      </c>
      <c r="L349" s="1330" t="str">
        <f t="shared" si="66"/>
        <v>Non renseigné</v>
      </c>
      <c r="M349" s="736" t="str">
        <f t="shared" si="67"/>
        <v>-</v>
      </c>
      <c r="N349" s="822" t="e">
        <f t="shared" si="68"/>
        <v>#VALUE!</v>
      </c>
      <c r="O349" s="733" t="e">
        <f t="shared" si="69"/>
        <v>#VALUE!</v>
      </c>
      <c r="P349" s="822" t="e">
        <f t="shared" si="70"/>
        <v>#VALUE!</v>
      </c>
      <c r="Q349" s="823"/>
      <c r="R349" s="942"/>
      <c r="S349" s="402" t="e">
        <f t="shared" si="17"/>
        <v>#VALUE!</v>
      </c>
      <c r="T349" s="402" t="e">
        <f t="shared" si="18"/>
        <v>#VALUE!</v>
      </c>
      <c r="U349" s="402" t="e">
        <f t="shared" si="19"/>
        <v>#VALUE!</v>
      </c>
      <c r="V349" s="402" t="e">
        <f t="shared" si="20"/>
        <v>#VALUE!</v>
      </c>
      <c r="W349" s="402" t="e">
        <f t="shared" si="21"/>
        <v>#VALUE!</v>
      </c>
      <c r="X349" s="402" t="e">
        <f t="shared" si="22"/>
        <v>#VALUE!</v>
      </c>
      <c r="Y349" s="402" t="e">
        <f t="shared" si="23"/>
        <v>#VALUE!</v>
      </c>
      <c r="Z349" s="402" t="e">
        <f t="shared" si="24"/>
        <v>#VALUE!</v>
      </c>
      <c r="AA349" s="402" t="e">
        <f t="shared" si="25"/>
        <v>#VALUE!</v>
      </c>
      <c r="AB349" s="669" t="e">
        <f t="shared" si="26"/>
        <v>#VALUE!</v>
      </c>
      <c r="AC349" s="403"/>
    </row>
    <row r="350" spans="2:29" s="121" customFormat="1" outlineLevel="1">
      <c r="B350" s="1167"/>
      <c r="C350" s="1168"/>
      <c r="D350" s="1750" t="s">
        <v>290</v>
      </c>
      <c r="E350" s="1751"/>
      <c r="F350" s="1751"/>
      <c r="G350" s="1752"/>
      <c r="H350" s="835"/>
      <c r="I350" s="1327" t="e">
        <f t="shared" si="65"/>
        <v>#DIV/0!</v>
      </c>
      <c r="J350" s="736" t="s">
        <v>365</v>
      </c>
      <c r="K350" s="736" t="s">
        <v>365</v>
      </c>
      <c r="L350" s="1330" t="str">
        <f t="shared" si="66"/>
        <v>Non renseigné</v>
      </c>
      <c r="M350" s="736" t="str">
        <f t="shared" si="67"/>
        <v>-</v>
      </c>
      <c r="N350" s="822" t="e">
        <f t="shared" si="68"/>
        <v>#VALUE!</v>
      </c>
      <c r="O350" s="733" t="e">
        <f t="shared" si="69"/>
        <v>#VALUE!</v>
      </c>
      <c r="P350" s="822" t="e">
        <f t="shared" si="70"/>
        <v>#VALUE!</v>
      </c>
      <c r="Q350" s="823"/>
      <c r="R350" s="942"/>
      <c r="S350" s="402" t="e">
        <f t="shared" si="17"/>
        <v>#VALUE!</v>
      </c>
      <c r="T350" s="402" t="e">
        <f t="shared" si="18"/>
        <v>#VALUE!</v>
      </c>
      <c r="U350" s="402" t="e">
        <f t="shared" si="19"/>
        <v>#VALUE!</v>
      </c>
      <c r="V350" s="402" t="e">
        <f t="shared" si="20"/>
        <v>#VALUE!</v>
      </c>
      <c r="W350" s="402" t="e">
        <f t="shared" si="21"/>
        <v>#VALUE!</v>
      </c>
      <c r="X350" s="402" t="e">
        <f t="shared" si="22"/>
        <v>#VALUE!</v>
      </c>
      <c r="Y350" s="402" t="e">
        <f t="shared" si="23"/>
        <v>#VALUE!</v>
      </c>
      <c r="Z350" s="402" t="e">
        <f t="shared" si="24"/>
        <v>#VALUE!</v>
      </c>
      <c r="AA350" s="402" t="e">
        <f t="shared" si="25"/>
        <v>#VALUE!</v>
      </c>
      <c r="AB350" s="669" t="e">
        <f t="shared" si="26"/>
        <v>#VALUE!</v>
      </c>
      <c r="AC350" s="403"/>
    </row>
    <row r="351" spans="2:29" s="121" customFormat="1" outlineLevel="1">
      <c r="B351" s="1167"/>
      <c r="C351" s="1168"/>
      <c r="D351" s="1750" t="s">
        <v>290</v>
      </c>
      <c r="E351" s="1751"/>
      <c r="F351" s="1751"/>
      <c r="G351" s="1752"/>
      <c r="H351" s="835"/>
      <c r="I351" s="1327" t="e">
        <f t="shared" si="65"/>
        <v>#DIV/0!</v>
      </c>
      <c r="J351" s="736" t="s">
        <v>365</v>
      </c>
      <c r="K351" s="736" t="s">
        <v>365</v>
      </c>
      <c r="L351" s="1330" t="str">
        <f t="shared" si="66"/>
        <v>Non renseigné</v>
      </c>
      <c r="M351" s="736" t="str">
        <f t="shared" si="67"/>
        <v>-</v>
      </c>
      <c r="N351" s="822" t="e">
        <f t="shared" si="68"/>
        <v>#VALUE!</v>
      </c>
      <c r="O351" s="733" t="e">
        <f t="shared" si="69"/>
        <v>#VALUE!</v>
      </c>
      <c r="P351" s="822" t="e">
        <f t="shared" si="70"/>
        <v>#VALUE!</v>
      </c>
      <c r="Q351" s="823"/>
      <c r="R351" s="942"/>
      <c r="S351" s="402" t="e">
        <f t="shared" si="17"/>
        <v>#VALUE!</v>
      </c>
      <c r="T351" s="402" t="e">
        <f t="shared" si="18"/>
        <v>#VALUE!</v>
      </c>
      <c r="U351" s="402" t="e">
        <f t="shared" si="19"/>
        <v>#VALUE!</v>
      </c>
      <c r="V351" s="402" t="e">
        <f t="shared" si="20"/>
        <v>#VALUE!</v>
      </c>
      <c r="W351" s="402" t="e">
        <f t="shared" si="21"/>
        <v>#VALUE!</v>
      </c>
      <c r="X351" s="402" t="e">
        <f t="shared" si="22"/>
        <v>#VALUE!</v>
      </c>
      <c r="Y351" s="402" t="e">
        <f t="shared" si="23"/>
        <v>#VALUE!</v>
      </c>
      <c r="Z351" s="402" t="e">
        <f t="shared" si="24"/>
        <v>#VALUE!</v>
      </c>
      <c r="AA351" s="402" t="e">
        <f t="shared" si="25"/>
        <v>#VALUE!</v>
      </c>
      <c r="AB351" s="669" t="e">
        <f t="shared" si="26"/>
        <v>#VALUE!</v>
      </c>
      <c r="AC351" s="403"/>
    </row>
    <row r="352" spans="2:29" s="121" customFormat="1" outlineLevel="1">
      <c r="B352" s="1167"/>
      <c r="C352" s="1168"/>
      <c r="D352" s="1750" t="s">
        <v>290</v>
      </c>
      <c r="E352" s="1751"/>
      <c r="F352" s="1751"/>
      <c r="G352" s="1752"/>
      <c r="H352" s="835"/>
      <c r="I352" s="1327" t="e">
        <f t="shared" si="65"/>
        <v>#DIV/0!</v>
      </c>
      <c r="J352" s="736" t="s">
        <v>365</v>
      </c>
      <c r="K352" s="736" t="s">
        <v>365</v>
      </c>
      <c r="L352" s="1330" t="str">
        <f t="shared" si="66"/>
        <v>Non renseigné</v>
      </c>
      <c r="M352" s="736" t="str">
        <f t="shared" si="67"/>
        <v>-</v>
      </c>
      <c r="N352" s="822" t="e">
        <f t="shared" si="68"/>
        <v>#VALUE!</v>
      </c>
      <c r="O352" s="733" t="e">
        <f t="shared" si="69"/>
        <v>#VALUE!</v>
      </c>
      <c r="P352" s="822" t="e">
        <f t="shared" si="70"/>
        <v>#VALUE!</v>
      </c>
      <c r="Q352" s="823"/>
      <c r="R352" s="942"/>
      <c r="S352" s="402" t="e">
        <f t="shared" si="17"/>
        <v>#VALUE!</v>
      </c>
      <c r="T352" s="402" t="e">
        <f t="shared" si="18"/>
        <v>#VALUE!</v>
      </c>
      <c r="U352" s="402" t="e">
        <f t="shared" si="19"/>
        <v>#VALUE!</v>
      </c>
      <c r="V352" s="402" t="e">
        <f t="shared" si="20"/>
        <v>#VALUE!</v>
      </c>
      <c r="W352" s="402" t="e">
        <f t="shared" si="21"/>
        <v>#VALUE!</v>
      </c>
      <c r="X352" s="402" t="e">
        <f t="shared" si="22"/>
        <v>#VALUE!</v>
      </c>
      <c r="Y352" s="402" t="e">
        <f t="shared" si="23"/>
        <v>#VALUE!</v>
      </c>
      <c r="Z352" s="402" t="e">
        <f t="shared" si="24"/>
        <v>#VALUE!</v>
      </c>
      <c r="AA352" s="402" t="e">
        <f t="shared" si="25"/>
        <v>#VALUE!</v>
      </c>
      <c r="AB352" s="669" t="e">
        <f t="shared" si="26"/>
        <v>#VALUE!</v>
      </c>
      <c r="AC352" s="403"/>
    </row>
    <row r="353" spans="2:29" outlineLevel="1">
      <c r="B353" s="1167"/>
      <c r="C353" s="1168"/>
      <c r="D353" s="1750" t="s">
        <v>290</v>
      </c>
      <c r="E353" s="1751"/>
      <c r="F353" s="1751"/>
      <c r="G353" s="1752"/>
      <c r="H353" s="835"/>
      <c r="I353" s="1327" t="e">
        <f t="shared" si="65"/>
        <v>#DIV/0!</v>
      </c>
      <c r="J353" s="736" t="s">
        <v>365</v>
      </c>
      <c r="K353" s="736" t="s">
        <v>365</v>
      </c>
      <c r="L353" s="1330" t="str">
        <f t="shared" si="66"/>
        <v>Non renseigné</v>
      </c>
      <c r="M353" s="736" t="str">
        <f t="shared" si="67"/>
        <v>-</v>
      </c>
      <c r="N353" s="822" t="e">
        <f t="shared" si="68"/>
        <v>#VALUE!</v>
      </c>
      <c r="O353" s="733" t="e">
        <f t="shared" si="69"/>
        <v>#VALUE!</v>
      </c>
      <c r="P353" s="822" t="e">
        <f t="shared" si="70"/>
        <v>#VALUE!</v>
      </c>
      <c r="Q353" s="823"/>
      <c r="R353" s="942"/>
      <c r="S353" s="402" t="e">
        <f t="shared" si="17"/>
        <v>#VALUE!</v>
      </c>
      <c r="T353" s="402" t="e">
        <f t="shared" si="18"/>
        <v>#VALUE!</v>
      </c>
      <c r="U353" s="402" t="e">
        <f t="shared" si="19"/>
        <v>#VALUE!</v>
      </c>
      <c r="V353" s="402" t="e">
        <f t="shared" si="20"/>
        <v>#VALUE!</v>
      </c>
      <c r="W353" s="402" t="e">
        <f t="shared" si="21"/>
        <v>#VALUE!</v>
      </c>
      <c r="X353" s="402" t="e">
        <f t="shared" si="22"/>
        <v>#VALUE!</v>
      </c>
      <c r="Y353" s="402" t="e">
        <f t="shared" si="23"/>
        <v>#VALUE!</v>
      </c>
      <c r="Z353" s="402" t="e">
        <f t="shared" si="24"/>
        <v>#VALUE!</v>
      </c>
      <c r="AA353" s="402" t="e">
        <f t="shared" si="25"/>
        <v>#VALUE!</v>
      </c>
      <c r="AB353" s="669" t="e">
        <f t="shared" si="26"/>
        <v>#VALUE!</v>
      </c>
    </row>
    <row r="354" spans="2:29" s="121" customFormat="1" outlineLevel="1">
      <c r="B354" s="1167"/>
      <c r="C354" s="1168"/>
      <c r="D354" s="1750" t="s">
        <v>290</v>
      </c>
      <c r="E354" s="1751"/>
      <c r="F354" s="1751"/>
      <c r="G354" s="1752"/>
      <c r="H354" s="835"/>
      <c r="I354" s="1327" t="e">
        <f t="shared" si="65"/>
        <v>#DIV/0!</v>
      </c>
      <c r="J354" s="736" t="s">
        <v>365</v>
      </c>
      <c r="K354" s="736" t="s">
        <v>365</v>
      </c>
      <c r="L354" s="1330" t="str">
        <f t="shared" si="66"/>
        <v>Non renseigné</v>
      </c>
      <c r="M354" s="736" t="str">
        <f t="shared" si="67"/>
        <v>-</v>
      </c>
      <c r="N354" s="822" t="e">
        <f t="shared" si="68"/>
        <v>#VALUE!</v>
      </c>
      <c r="O354" s="733" t="e">
        <f t="shared" si="69"/>
        <v>#VALUE!</v>
      </c>
      <c r="P354" s="822" t="e">
        <f t="shared" si="70"/>
        <v>#VALUE!</v>
      </c>
      <c r="Q354" s="823"/>
      <c r="R354" s="942"/>
      <c r="S354" s="402" t="e">
        <f t="shared" si="17"/>
        <v>#VALUE!</v>
      </c>
      <c r="T354" s="402" t="e">
        <f t="shared" si="18"/>
        <v>#VALUE!</v>
      </c>
      <c r="U354" s="402" t="e">
        <f t="shared" si="19"/>
        <v>#VALUE!</v>
      </c>
      <c r="V354" s="402" t="e">
        <f t="shared" si="20"/>
        <v>#VALUE!</v>
      </c>
      <c r="W354" s="402" t="e">
        <f t="shared" si="21"/>
        <v>#VALUE!</v>
      </c>
      <c r="X354" s="402" t="e">
        <f t="shared" si="22"/>
        <v>#VALUE!</v>
      </c>
      <c r="Y354" s="402" t="e">
        <f t="shared" si="23"/>
        <v>#VALUE!</v>
      </c>
      <c r="Z354" s="402" t="e">
        <f t="shared" si="24"/>
        <v>#VALUE!</v>
      </c>
      <c r="AA354" s="402" t="e">
        <f t="shared" si="25"/>
        <v>#VALUE!</v>
      </c>
      <c r="AB354" s="669" t="e">
        <f t="shared" si="26"/>
        <v>#VALUE!</v>
      </c>
      <c r="AC354" s="403"/>
    </row>
    <row r="355" spans="2:29" s="121" customFormat="1" outlineLevel="1">
      <c r="B355" s="1167"/>
      <c r="C355" s="1168"/>
      <c r="D355" s="1750" t="s">
        <v>290</v>
      </c>
      <c r="E355" s="1751"/>
      <c r="F355" s="1751"/>
      <c r="G355" s="1752"/>
      <c r="H355" s="835"/>
      <c r="I355" s="1327" t="e">
        <f t="shared" si="65"/>
        <v>#DIV/0!</v>
      </c>
      <c r="J355" s="736" t="s">
        <v>365</v>
      </c>
      <c r="K355" s="736" t="s">
        <v>365</v>
      </c>
      <c r="L355" s="1330" t="str">
        <f t="shared" si="66"/>
        <v>Non renseigné</v>
      </c>
      <c r="M355" s="736" t="str">
        <f t="shared" si="67"/>
        <v>-</v>
      </c>
      <c r="N355" s="822" t="e">
        <f t="shared" si="68"/>
        <v>#VALUE!</v>
      </c>
      <c r="O355" s="733" t="e">
        <f t="shared" si="69"/>
        <v>#VALUE!</v>
      </c>
      <c r="P355" s="822" t="e">
        <f t="shared" si="70"/>
        <v>#VALUE!</v>
      </c>
      <c r="Q355" s="823"/>
      <c r="R355" s="942"/>
      <c r="S355" s="402" t="e">
        <f t="shared" si="17"/>
        <v>#VALUE!</v>
      </c>
      <c r="T355" s="402" t="e">
        <f t="shared" si="18"/>
        <v>#VALUE!</v>
      </c>
      <c r="U355" s="402" t="e">
        <f t="shared" si="19"/>
        <v>#VALUE!</v>
      </c>
      <c r="V355" s="402" t="e">
        <f t="shared" si="20"/>
        <v>#VALUE!</v>
      </c>
      <c r="W355" s="402" t="e">
        <f t="shared" si="21"/>
        <v>#VALUE!</v>
      </c>
      <c r="X355" s="402" t="e">
        <f t="shared" si="22"/>
        <v>#VALUE!</v>
      </c>
      <c r="Y355" s="402" t="e">
        <f t="shared" si="23"/>
        <v>#VALUE!</v>
      </c>
      <c r="Z355" s="402" t="e">
        <f t="shared" si="24"/>
        <v>#VALUE!</v>
      </c>
      <c r="AA355" s="402" t="e">
        <f t="shared" si="25"/>
        <v>#VALUE!</v>
      </c>
      <c r="AB355" s="669" t="e">
        <f t="shared" si="26"/>
        <v>#VALUE!</v>
      </c>
      <c r="AC355" s="403"/>
    </row>
    <row r="356" spans="2:29" s="121" customFormat="1" outlineLevel="1">
      <c r="B356" s="1167"/>
      <c r="C356" s="1168"/>
      <c r="D356" s="1750" t="s">
        <v>290</v>
      </c>
      <c r="E356" s="1751"/>
      <c r="F356" s="1751"/>
      <c r="G356" s="1752"/>
      <c r="H356" s="835"/>
      <c r="I356" s="1327" t="e">
        <f t="shared" si="65"/>
        <v>#DIV/0!</v>
      </c>
      <c r="J356" s="736" t="s">
        <v>365</v>
      </c>
      <c r="K356" s="736" t="s">
        <v>365</v>
      </c>
      <c r="L356" s="1330" t="str">
        <f t="shared" si="66"/>
        <v>Non renseigné</v>
      </c>
      <c r="M356" s="736" t="str">
        <f t="shared" si="67"/>
        <v>-</v>
      </c>
      <c r="N356" s="822" t="e">
        <f t="shared" si="68"/>
        <v>#VALUE!</v>
      </c>
      <c r="O356" s="733" t="e">
        <f t="shared" si="69"/>
        <v>#VALUE!</v>
      </c>
      <c r="P356" s="822" t="e">
        <f t="shared" si="70"/>
        <v>#VALUE!</v>
      </c>
      <c r="Q356" s="823"/>
      <c r="R356" s="942"/>
      <c r="S356" s="402" t="e">
        <f t="shared" si="17"/>
        <v>#VALUE!</v>
      </c>
      <c r="T356" s="402" t="e">
        <f t="shared" si="18"/>
        <v>#VALUE!</v>
      </c>
      <c r="U356" s="402" t="e">
        <f t="shared" si="19"/>
        <v>#VALUE!</v>
      </c>
      <c r="V356" s="402" t="e">
        <f t="shared" si="20"/>
        <v>#VALUE!</v>
      </c>
      <c r="W356" s="402" t="e">
        <f t="shared" si="21"/>
        <v>#VALUE!</v>
      </c>
      <c r="X356" s="402" t="e">
        <f t="shared" si="22"/>
        <v>#VALUE!</v>
      </c>
      <c r="Y356" s="402" t="e">
        <f t="shared" si="23"/>
        <v>#VALUE!</v>
      </c>
      <c r="Z356" s="402" t="e">
        <f t="shared" si="24"/>
        <v>#VALUE!</v>
      </c>
      <c r="AA356" s="402" t="e">
        <f t="shared" si="25"/>
        <v>#VALUE!</v>
      </c>
      <c r="AB356" s="669" t="e">
        <f t="shared" si="26"/>
        <v>#VALUE!</v>
      </c>
      <c r="AC356" s="403"/>
    </row>
    <row r="357" spans="2:29" s="121" customFormat="1" outlineLevel="1">
      <c r="B357" s="1167"/>
      <c r="C357" s="1168"/>
      <c r="D357" s="1750" t="s">
        <v>290</v>
      </c>
      <c r="E357" s="1751"/>
      <c r="F357" s="1751"/>
      <c r="G357" s="1752"/>
      <c r="H357" s="835"/>
      <c r="I357" s="1327" t="e">
        <f t="shared" si="65"/>
        <v>#DIV/0!</v>
      </c>
      <c r="J357" s="736" t="s">
        <v>365</v>
      </c>
      <c r="K357" s="736" t="s">
        <v>365</v>
      </c>
      <c r="L357" s="1330" t="str">
        <f t="shared" si="66"/>
        <v>Non renseigné</v>
      </c>
      <c r="M357" s="736" t="str">
        <f t="shared" si="67"/>
        <v>-</v>
      </c>
      <c r="N357" s="822" t="e">
        <f t="shared" si="68"/>
        <v>#VALUE!</v>
      </c>
      <c r="O357" s="733" t="e">
        <f t="shared" si="69"/>
        <v>#VALUE!</v>
      </c>
      <c r="P357" s="822" t="e">
        <f t="shared" si="70"/>
        <v>#VALUE!</v>
      </c>
      <c r="Q357" s="823"/>
      <c r="R357" s="942"/>
      <c r="S357" s="402" t="e">
        <f t="shared" si="17"/>
        <v>#VALUE!</v>
      </c>
      <c r="T357" s="402" t="e">
        <f t="shared" si="18"/>
        <v>#VALUE!</v>
      </c>
      <c r="U357" s="402" t="e">
        <f t="shared" si="19"/>
        <v>#VALUE!</v>
      </c>
      <c r="V357" s="402" t="e">
        <f t="shared" si="20"/>
        <v>#VALUE!</v>
      </c>
      <c r="W357" s="402" t="e">
        <f t="shared" si="21"/>
        <v>#VALUE!</v>
      </c>
      <c r="X357" s="402" t="e">
        <f t="shared" si="22"/>
        <v>#VALUE!</v>
      </c>
      <c r="Y357" s="402" t="e">
        <f t="shared" si="23"/>
        <v>#VALUE!</v>
      </c>
      <c r="Z357" s="402" t="e">
        <f t="shared" si="24"/>
        <v>#VALUE!</v>
      </c>
      <c r="AA357" s="402" t="e">
        <f t="shared" si="25"/>
        <v>#VALUE!</v>
      </c>
      <c r="AB357" s="669" t="e">
        <f t="shared" si="26"/>
        <v>#VALUE!</v>
      </c>
      <c r="AC357" s="403"/>
    </row>
    <row r="358" spans="2:29" s="121" customFormat="1" outlineLevel="1">
      <c r="B358" s="1167"/>
      <c r="C358" s="1168"/>
      <c r="D358" s="1750" t="s">
        <v>290</v>
      </c>
      <c r="E358" s="1751"/>
      <c r="F358" s="1751"/>
      <c r="G358" s="1752"/>
      <c r="H358" s="835"/>
      <c r="I358" s="1327" t="e">
        <f t="shared" si="65"/>
        <v>#DIV/0!</v>
      </c>
      <c r="J358" s="736" t="s">
        <v>365</v>
      </c>
      <c r="K358" s="736" t="s">
        <v>365</v>
      </c>
      <c r="L358" s="1330" t="str">
        <f t="shared" si="66"/>
        <v>Non renseigné</v>
      </c>
      <c r="M358" s="736" t="str">
        <f t="shared" si="67"/>
        <v>-</v>
      </c>
      <c r="N358" s="822" t="e">
        <f t="shared" si="68"/>
        <v>#VALUE!</v>
      </c>
      <c r="O358" s="733" t="e">
        <f t="shared" si="69"/>
        <v>#VALUE!</v>
      </c>
      <c r="P358" s="822" t="e">
        <f t="shared" si="70"/>
        <v>#VALUE!</v>
      </c>
      <c r="Q358" s="823"/>
      <c r="R358" s="942"/>
      <c r="S358" s="402" t="e">
        <f t="shared" si="17"/>
        <v>#VALUE!</v>
      </c>
      <c r="T358" s="402" t="e">
        <f t="shared" si="18"/>
        <v>#VALUE!</v>
      </c>
      <c r="U358" s="402" t="e">
        <f t="shared" si="19"/>
        <v>#VALUE!</v>
      </c>
      <c r="V358" s="402" t="e">
        <f t="shared" si="20"/>
        <v>#VALUE!</v>
      </c>
      <c r="W358" s="402" t="e">
        <f t="shared" si="21"/>
        <v>#VALUE!</v>
      </c>
      <c r="X358" s="402" t="e">
        <f t="shared" si="22"/>
        <v>#VALUE!</v>
      </c>
      <c r="Y358" s="402" t="e">
        <f t="shared" si="23"/>
        <v>#VALUE!</v>
      </c>
      <c r="Z358" s="402" t="e">
        <f t="shared" si="24"/>
        <v>#VALUE!</v>
      </c>
      <c r="AA358" s="402" t="e">
        <f t="shared" si="25"/>
        <v>#VALUE!</v>
      </c>
      <c r="AB358" s="669" t="e">
        <f t="shared" si="26"/>
        <v>#VALUE!</v>
      </c>
      <c r="AC358" s="403"/>
    </row>
    <row r="359" spans="2:29" s="121" customFormat="1" outlineLevel="1">
      <c r="B359" s="1167"/>
      <c r="C359" s="1168"/>
      <c r="D359" s="1750" t="s">
        <v>290</v>
      </c>
      <c r="E359" s="1751"/>
      <c r="F359" s="1751"/>
      <c r="G359" s="1752"/>
      <c r="H359" s="835"/>
      <c r="I359" s="1327" t="e">
        <f t="shared" si="65"/>
        <v>#DIV/0!</v>
      </c>
      <c r="J359" s="736" t="s">
        <v>365</v>
      </c>
      <c r="K359" s="736" t="s">
        <v>365</v>
      </c>
      <c r="L359" s="1330" t="str">
        <f t="shared" si="66"/>
        <v>Non renseigné</v>
      </c>
      <c r="M359" s="736" t="str">
        <f t="shared" si="67"/>
        <v>-</v>
      </c>
      <c r="N359" s="822" t="e">
        <f t="shared" si="68"/>
        <v>#VALUE!</v>
      </c>
      <c r="O359" s="733" t="e">
        <f t="shared" si="69"/>
        <v>#VALUE!</v>
      </c>
      <c r="P359" s="822" t="e">
        <f t="shared" si="70"/>
        <v>#VALUE!</v>
      </c>
      <c r="Q359" s="823"/>
      <c r="R359" s="942"/>
      <c r="S359" s="402" t="e">
        <f t="shared" si="17"/>
        <v>#VALUE!</v>
      </c>
      <c r="T359" s="402" t="e">
        <f t="shared" si="18"/>
        <v>#VALUE!</v>
      </c>
      <c r="U359" s="402" t="e">
        <f t="shared" si="19"/>
        <v>#VALUE!</v>
      </c>
      <c r="V359" s="402" t="e">
        <f t="shared" si="20"/>
        <v>#VALUE!</v>
      </c>
      <c r="W359" s="402" t="e">
        <f t="shared" si="21"/>
        <v>#VALUE!</v>
      </c>
      <c r="X359" s="402" t="e">
        <f t="shared" si="22"/>
        <v>#VALUE!</v>
      </c>
      <c r="Y359" s="402" t="e">
        <f t="shared" si="23"/>
        <v>#VALUE!</v>
      </c>
      <c r="Z359" s="402" t="e">
        <f t="shared" si="24"/>
        <v>#VALUE!</v>
      </c>
      <c r="AA359" s="402" t="e">
        <f t="shared" si="25"/>
        <v>#VALUE!</v>
      </c>
      <c r="AB359" s="669" t="e">
        <f t="shared" si="26"/>
        <v>#VALUE!</v>
      </c>
      <c r="AC359" s="403"/>
    </row>
    <row r="360" spans="2:29" s="121" customFormat="1" outlineLevel="1">
      <c r="B360" s="1167"/>
      <c r="C360" s="1168"/>
      <c r="D360" s="1750" t="s">
        <v>290</v>
      </c>
      <c r="E360" s="1751"/>
      <c r="F360" s="1751"/>
      <c r="G360" s="1752"/>
      <c r="H360" s="835"/>
      <c r="I360" s="1327" t="e">
        <f t="shared" si="65"/>
        <v>#DIV/0!</v>
      </c>
      <c r="J360" s="736" t="s">
        <v>365</v>
      </c>
      <c r="K360" s="736" t="s">
        <v>365</v>
      </c>
      <c r="L360" s="1330" t="str">
        <f t="shared" si="66"/>
        <v>Non renseigné</v>
      </c>
      <c r="M360" s="736" t="str">
        <f t="shared" si="67"/>
        <v>-</v>
      </c>
      <c r="N360" s="822" t="e">
        <f t="shared" si="68"/>
        <v>#VALUE!</v>
      </c>
      <c r="O360" s="733" t="e">
        <f t="shared" si="69"/>
        <v>#VALUE!</v>
      </c>
      <c r="P360" s="822" t="e">
        <f t="shared" si="70"/>
        <v>#VALUE!</v>
      </c>
      <c r="Q360" s="823"/>
      <c r="R360" s="942"/>
      <c r="S360" s="402" t="e">
        <f t="shared" si="17"/>
        <v>#VALUE!</v>
      </c>
      <c r="T360" s="402" t="e">
        <f t="shared" si="18"/>
        <v>#VALUE!</v>
      </c>
      <c r="U360" s="402" t="e">
        <f t="shared" si="19"/>
        <v>#VALUE!</v>
      </c>
      <c r="V360" s="402" t="e">
        <f t="shared" si="20"/>
        <v>#VALUE!</v>
      </c>
      <c r="W360" s="402" t="e">
        <f t="shared" si="21"/>
        <v>#VALUE!</v>
      </c>
      <c r="X360" s="402" t="e">
        <f t="shared" si="22"/>
        <v>#VALUE!</v>
      </c>
      <c r="Y360" s="402" t="e">
        <f t="shared" si="23"/>
        <v>#VALUE!</v>
      </c>
      <c r="Z360" s="402" t="e">
        <f t="shared" si="24"/>
        <v>#VALUE!</v>
      </c>
      <c r="AA360" s="402" t="e">
        <f t="shared" si="25"/>
        <v>#VALUE!</v>
      </c>
      <c r="AB360" s="669" t="e">
        <f t="shared" si="26"/>
        <v>#VALUE!</v>
      </c>
      <c r="AC360" s="403"/>
    </row>
    <row r="361" spans="2:29" s="121" customFormat="1" outlineLevel="1">
      <c r="B361" s="1167"/>
      <c r="C361" s="1168"/>
      <c r="D361" s="1750" t="s">
        <v>290</v>
      </c>
      <c r="E361" s="1751"/>
      <c r="F361" s="1751"/>
      <c r="G361" s="1752"/>
      <c r="H361" s="835"/>
      <c r="I361" s="1327" t="e">
        <f t="shared" si="65"/>
        <v>#DIV/0!</v>
      </c>
      <c r="J361" s="736" t="s">
        <v>365</v>
      </c>
      <c r="K361" s="736" t="s">
        <v>365</v>
      </c>
      <c r="L361" s="1330" t="str">
        <f t="shared" si="66"/>
        <v>Non renseigné</v>
      </c>
      <c r="M361" s="736" t="str">
        <f t="shared" si="67"/>
        <v>-</v>
      </c>
      <c r="N361" s="822" t="e">
        <f t="shared" si="68"/>
        <v>#VALUE!</v>
      </c>
      <c r="O361" s="733" t="e">
        <f t="shared" si="69"/>
        <v>#VALUE!</v>
      </c>
      <c r="P361" s="822" t="e">
        <f t="shared" si="70"/>
        <v>#VALUE!</v>
      </c>
      <c r="Q361" s="823"/>
      <c r="R361" s="942"/>
      <c r="S361" s="402" t="e">
        <f t="shared" si="17"/>
        <v>#VALUE!</v>
      </c>
      <c r="T361" s="402" t="e">
        <f t="shared" si="18"/>
        <v>#VALUE!</v>
      </c>
      <c r="U361" s="402" t="e">
        <f t="shared" si="19"/>
        <v>#VALUE!</v>
      </c>
      <c r="V361" s="402" t="e">
        <f t="shared" si="20"/>
        <v>#VALUE!</v>
      </c>
      <c r="W361" s="402" t="e">
        <f t="shared" si="21"/>
        <v>#VALUE!</v>
      </c>
      <c r="X361" s="402" t="e">
        <f t="shared" si="22"/>
        <v>#VALUE!</v>
      </c>
      <c r="Y361" s="402" t="e">
        <f t="shared" si="23"/>
        <v>#VALUE!</v>
      </c>
      <c r="Z361" s="402" t="e">
        <f t="shared" si="24"/>
        <v>#VALUE!</v>
      </c>
      <c r="AA361" s="402" t="e">
        <f t="shared" si="25"/>
        <v>#VALUE!</v>
      </c>
      <c r="AB361" s="669" t="e">
        <f t="shared" si="26"/>
        <v>#VALUE!</v>
      </c>
      <c r="AC361" s="403"/>
    </row>
    <row r="362" spans="2:29" s="121" customFormat="1" outlineLevel="1">
      <c r="B362" s="1167"/>
      <c r="C362" s="1168"/>
      <c r="D362" s="1750" t="s">
        <v>290</v>
      </c>
      <c r="E362" s="1751"/>
      <c r="F362" s="1751"/>
      <c r="G362" s="1752"/>
      <c r="H362" s="835"/>
      <c r="I362" s="1327" t="e">
        <f t="shared" si="65"/>
        <v>#DIV/0!</v>
      </c>
      <c r="J362" s="736" t="s">
        <v>365</v>
      </c>
      <c r="K362" s="736" t="s">
        <v>365</v>
      </c>
      <c r="L362" s="1330" t="str">
        <f t="shared" si="66"/>
        <v>Non renseigné</v>
      </c>
      <c r="M362" s="736" t="str">
        <f t="shared" si="67"/>
        <v>-</v>
      </c>
      <c r="N362" s="822" t="e">
        <f t="shared" si="68"/>
        <v>#VALUE!</v>
      </c>
      <c r="O362" s="733" t="e">
        <f t="shared" si="69"/>
        <v>#VALUE!</v>
      </c>
      <c r="P362" s="822" t="e">
        <f t="shared" si="70"/>
        <v>#VALUE!</v>
      </c>
      <c r="Q362" s="823"/>
      <c r="R362" s="942"/>
      <c r="S362" s="402" t="e">
        <f t="shared" si="17"/>
        <v>#VALUE!</v>
      </c>
      <c r="T362" s="402" t="e">
        <f t="shared" si="18"/>
        <v>#VALUE!</v>
      </c>
      <c r="U362" s="402" t="e">
        <f t="shared" si="19"/>
        <v>#VALUE!</v>
      </c>
      <c r="V362" s="402" t="e">
        <f t="shared" si="20"/>
        <v>#VALUE!</v>
      </c>
      <c r="W362" s="402" t="e">
        <f t="shared" si="21"/>
        <v>#VALUE!</v>
      </c>
      <c r="X362" s="402" t="e">
        <f t="shared" si="22"/>
        <v>#VALUE!</v>
      </c>
      <c r="Y362" s="402" t="e">
        <f t="shared" si="23"/>
        <v>#VALUE!</v>
      </c>
      <c r="Z362" s="402" t="e">
        <f t="shared" si="24"/>
        <v>#VALUE!</v>
      </c>
      <c r="AA362" s="402" t="e">
        <f t="shared" si="25"/>
        <v>#VALUE!</v>
      </c>
      <c r="AB362" s="669" t="e">
        <f t="shared" si="26"/>
        <v>#VALUE!</v>
      </c>
      <c r="AC362" s="403"/>
    </row>
    <row r="363" spans="2:29" outlineLevel="1">
      <c r="B363" s="1167"/>
      <c r="C363" s="1168"/>
      <c r="D363" s="1750" t="s">
        <v>290</v>
      </c>
      <c r="E363" s="1751"/>
      <c r="F363" s="1751"/>
      <c r="G363" s="1752"/>
      <c r="H363" s="835"/>
      <c r="I363" s="1327" t="e">
        <f t="shared" si="65"/>
        <v>#DIV/0!</v>
      </c>
      <c r="J363" s="736" t="s">
        <v>365</v>
      </c>
      <c r="K363" s="736" t="s">
        <v>365</v>
      </c>
      <c r="L363" s="1330" t="str">
        <f t="shared" si="66"/>
        <v>Non renseigné</v>
      </c>
      <c r="M363" s="736" t="str">
        <f t="shared" si="67"/>
        <v>-</v>
      </c>
      <c r="N363" s="822" t="e">
        <f t="shared" si="68"/>
        <v>#VALUE!</v>
      </c>
      <c r="O363" s="733" t="e">
        <f t="shared" si="69"/>
        <v>#VALUE!</v>
      </c>
      <c r="P363" s="822" t="e">
        <f t="shared" si="70"/>
        <v>#VALUE!</v>
      </c>
      <c r="Q363" s="823"/>
      <c r="R363" s="942"/>
      <c r="S363" s="402" t="e">
        <f t="shared" si="17"/>
        <v>#VALUE!</v>
      </c>
      <c r="T363" s="402" t="e">
        <f t="shared" si="18"/>
        <v>#VALUE!</v>
      </c>
      <c r="U363" s="402" t="e">
        <f t="shared" si="19"/>
        <v>#VALUE!</v>
      </c>
      <c r="V363" s="402" t="e">
        <f t="shared" si="20"/>
        <v>#VALUE!</v>
      </c>
      <c r="W363" s="402" t="e">
        <f t="shared" si="21"/>
        <v>#VALUE!</v>
      </c>
      <c r="X363" s="402" t="e">
        <f t="shared" si="22"/>
        <v>#VALUE!</v>
      </c>
      <c r="Y363" s="402" t="e">
        <f t="shared" si="23"/>
        <v>#VALUE!</v>
      </c>
      <c r="Z363" s="402" t="e">
        <f t="shared" si="24"/>
        <v>#VALUE!</v>
      </c>
      <c r="AA363" s="402" t="e">
        <f t="shared" si="25"/>
        <v>#VALUE!</v>
      </c>
      <c r="AB363" s="669" t="e">
        <f t="shared" si="26"/>
        <v>#VALUE!</v>
      </c>
    </row>
    <row r="364" spans="2:29" s="121" customFormat="1" outlineLevel="1">
      <c r="B364" s="1167"/>
      <c r="C364" s="1168"/>
      <c r="D364" s="1750" t="s">
        <v>290</v>
      </c>
      <c r="E364" s="1751"/>
      <c r="F364" s="1751"/>
      <c r="G364" s="1752"/>
      <c r="H364" s="835"/>
      <c r="I364" s="1327" t="e">
        <f t="shared" si="65"/>
        <v>#DIV/0!</v>
      </c>
      <c r="J364" s="736" t="s">
        <v>365</v>
      </c>
      <c r="K364" s="736" t="s">
        <v>365</v>
      </c>
      <c r="L364" s="1330" t="str">
        <f t="shared" si="66"/>
        <v>Non renseigné</v>
      </c>
      <c r="M364" s="736" t="str">
        <f t="shared" si="67"/>
        <v>-</v>
      </c>
      <c r="N364" s="822" t="e">
        <f t="shared" si="68"/>
        <v>#VALUE!</v>
      </c>
      <c r="O364" s="733" t="e">
        <f t="shared" si="69"/>
        <v>#VALUE!</v>
      </c>
      <c r="P364" s="822" t="e">
        <f t="shared" si="70"/>
        <v>#VALUE!</v>
      </c>
      <c r="Q364" s="823"/>
      <c r="R364" s="942"/>
      <c r="S364" s="402" t="e">
        <f t="shared" si="17"/>
        <v>#VALUE!</v>
      </c>
      <c r="T364" s="402" t="e">
        <f t="shared" si="18"/>
        <v>#VALUE!</v>
      </c>
      <c r="U364" s="402" t="e">
        <f t="shared" si="19"/>
        <v>#VALUE!</v>
      </c>
      <c r="V364" s="402" t="e">
        <f t="shared" si="20"/>
        <v>#VALUE!</v>
      </c>
      <c r="W364" s="402" t="e">
        <f t="shared" si="21"/>
        <v>#VALUE!</v>
      </c>
      <c r="X364" s="402" t="e">
        <f t="shared" si="22"/>
        <v>#VALUE!</v>
      </c>
      <c r="Y364" s="402" t="e">
        <f t="shared" si="23"/>
        <v>#VALUE!</v>
      </c>
      <c r="Z364" s="402" t="e">
        <f t="shared" si="24"/>
        <v>#VALUE!</v>
      </c>
      <c r="AA364" s="402" t="e">
        <f t="shared" si="25"/>
        <v>#VALUE!</v>
      </c>
      <c r="AB364" s="669" t="e">
        <f t="shared" si="26"/>
        <v>#VALUE!</v>
      </c>
      <c r="AC364" s="403"/>
    </row>
    <row r="365" spans="2:29" s="121" customFormat="1" outlineLevel="1">
      <c r="B365" s="1167"/>
      <c r="C365" s="1168"/>
      <c r="D365" s="1750" t="s">
        <v>290</v>
      </c>
      <c r="E365" s="1751"/>
      <c r="F365" s="1751"/>
      <c r="G365" s="1752"/>
      <c r="H365" s="835"/>
      <c r="I365" s="1327" t="e">
        <f t="shared" si="65"/>
        <v>#DIV/0!</v>
      </c>
      <c r="J365" s="736" t="s">
        <v>365</v>
      </c>
      <c r="K365" s="736" t="s">
        <v>365</v>
      </c>
      <c r="L365" s="1330" t="str">
        <f t="shared" si="66"/>
        <v>Non renseigné</v>
      </c>
      <c r="M365" s="736" t="str">
        <f t="shared" si="67"/>
        <v>-</v>
      </c>
      <c r="N365" s="822" t="e">
        <f t="shared" si="68"/>
        <v>#VALUE!</v>
      </c>
      <c r="O365" s="733" t="e">
        <f t="shared" si="69"/>
        <v>#VALUE!</v>
      </c>
      <c r="P365" s="822" t="e">
        <f t="shared" si="70"/>
        <v>#VALUE!</v>
      </c>
      <c r="Q365" s="823"/>
      <c r="R365" s="942"/>
      <c r="S365" s="402" t="e">
        <f t="shared" si="17"/>
        <v>#VALUE!</v>
      </c>
      <c r="T365" s="402" t="e">
        <f t="shared" si="18"/>
        <v>#VALUE!</v>
      </c>
      <c r="U365" s="402" t="e">
        <f t="shared" si="19"/>
        <v>#VALUE!</v>
      </c>
      <c r="V365" s="402" t="e">
        <f t="shared" si="20"/>
        <v>#VALUE!</v>
      </c>
      <c r="W365" s="402" t="e">
        <f t="shared" si="21"/>
        <v>#VALUE!</v>
      </c>
      <c r="X365" s="402" t="e">
        <f t="shared" si="22"/>
        <v>#VALUE!</v>
      </c>
      <c r="Y365" s="402" t="e">
        <f t="shared" si="23"/>
        <v>#VALUE!</v>
      </c>
      <c r="Z365" s="402" t="e">
        <f t="shared" si="24"/>
        <v>#VALUE!</v>
      </c>
      <c r="AA365" s="402" t="e">
        <f t="shared" si="25"/>
        <v>#VALUE!</v>
      </c>
      <c r="AB365" s="669" t="e">
        <f t="shared" si="26"/>
        <v>#VALUE!</v>
      </c>
      <c r="AC365" s="403"/>
    </row>
    <row r="366" spans="2:29" s="121" customFormat="1" outlineLevel="1">
      <c r="B366" s="1167"/>
      <c r="C366" s="1168"/>
      <c r="D366" s="1750" t="s">
        <v>290</v>
      </c>
      <c r="E366" s="1751"/>
      <c r="F366" s="1751"/>
      <c r="G366" s="1752"/>
      <c r="H366" s="835"/>
      <c r="I366" s="1327" t="e">
        <f t="shared" si="65"/>
        <v>#DIV/0!</v>
      </c>
      <c r="J366" s="736" t="s">
        <v>365</v>
      </c>
      <c r="K366" s="736" t="s">
        <v>365</v>
      </c>
      <c r="L366" s="1330" t="str">
        <f t="shared" si="66"/>
        <v>Non renseigné</v>
      </c>
      <c r="M366" s="736" t="str">
        <f t="shared" si="67"/>
        <v>-</v>
      </c>
      <c r="N366" s="822" t="e">
        <f t="shared" si="68"/>
        <v>#VALUE!</v>
      </c>
      <c r="O366" s="733" t="e">
        <f t="shared" si="69"/>
        <v>#VALUE!</v>
      </c>
      <c r="P366" s="822" t="e">
        <f t="shared" si="70"/>
        <v>#VALUE!</v>
      </c>
      <c r="Q366" s="823"/>
      <c r="R366" s="942"/>
      <c r="S366" s="402" t="e">
        <f t="shared" si="17"/>
        <v>#VALUE!</v>
      </c>
      <c r="T366" s="402" t="e">
        <f t="shared" si="18"/>
        <v>#VALUE!</v>
      </c>
      <c r="U366" s="402" t="e">
        <f t="shared" si="19"/>
        <v>#VALUE!</v>
      </c>
      <c r="V366" s="402" t="e">
        <f t="shared" si="20"/>
        <v>#VALUE!</v>
      </c>
      <c r="W366" s="402" t="e">
        <f t="shared" si="21"/>
        <v>#VALUE!</v>
      </c>
      <c r="X366" s="402" t="e">
        <f t="shared" si="22"/>
        <v>#VALUE!</v>
      </c>
      <c r="Y366" s="402" t="e">
        <f t="shared" si="23"/>
        <v>#VALUE!</v>
      </c>
      <c r="Z366" s="402" t="e">
        <f t="shared" si="24"/>
        <v>#VALUE!</v>
      </c>
      <c r="AA366" s="402" t="e">
        <f t="shared" si="25"/>
        <v>#VALUE!</v>
      </c>
      <c r="AB366" s="669" t="e">
        <f t="shared" si="26"/>
        <v>#VALUE!</v>
      </c>
      <c r="AC366" s="403"/>
    </row>
    <row r="367" spans="2:29" s="121" customFormat="1" outlineLevel="1">
      <c r="B367" s="1167"/>
      <c r="C367" s="1168"/>
      <c r="D367" s="1750" t="s">
        <v>290</v>
      </c>
      <c r="E367" s="1751"/>
      <c r="F367" s="1751"/>
      <c r="G367" s="1752"/>
      <c r="H367" s="835"/>
      <c r="I367" s="1327" t="e">
        <f t="shared" si="65"/>
        <v>#DIV/0!</v>
      </c>
      <c r="J367" s="736" t="s">
        <v>365</v>
      </c>
      <c r="K367" s="736" t="s">
        <v>365</v>
      </c>
      <c r="L367" s="1330" t="str">
        <f t="shared" si="66"/>
        <v>Non renseigné</v>
      </c>
      <c r="M367" s="736" t="str">
        <f t="shared" si="67"/>
        <v>-</v>
      </c>
      <c r="N367" s="822" t="e">
        <f t="shared" si="68"/>
        <v>#VALUE!</v>
      </c>
      <c r="O367" s="733" t="e">
        <f t="shared" si="69"/>
        <v>#VALUE!</v>
      </c>
      <c r="P367" s="822" t="e">
        <f t="shared" si="70"/>
        <v>#VALUE!</v>
      </c>
      <c r="Q367" s="823"/>
      <c r="R367" s="942"/>
      <c r="S367" s="402" t="e">
        <f t="shared" si="17"/>
        <v>#VALUE!</v>
      </c>
      <c r="T367" s="402" t="e">
        <f t="shared" si="18"/>
        <v>#VALUE!</v>
      </c>
      <c r="U367" s="402" t="e">
        <f t="shared" si="19"/>
        <v>#VALUE!</v>
      </c>
      <c r="V367" s="402" t="e">
        <f t="shared" si="20"/>
        <v>#VALUE!</v>
      </c>
      <c r="W367" s="402" t="e">
        <f t="shared" si="21"/>
        <v>#VALUE!</v>
      </c>
      <c r="X367" s="402" t="e">
        <f t="shared" si="22"/>
        <v>#VALUE!</v>
      </c>
      <c r="Y367" s="402" t="e">
        <f t="shared" si="23"/>
        <v>#VALUE!</v>
      </c>
      <c r="Z367" s="402" t="e">
        <f t="shared" si="24"/>
        <v>#VALUE!</v>
      </c>
      <c r="AA367" s="402" t="e">
        <f t="shared" si="25"/>
        <v>#VALUE!</v>
      </c>
      <c r="AB367" s="669" t="e">
        <f t="shared" si="26"/>
        <v>#VALUE!</v>
      </c>
      <c r="AC367" s="403"/>
    </row>
    <row r="368" spans="2:29" s="121" customFormat="1" outlineLevel="1">
      <c r="B368" s="1167"/>
      <c r="C368" s="1168"/>
      <c r="D368" s="1750" t="s">
        <v>290</v>
      </c>
      <c r="E368" s="1751"/>
      <c r="F368" s="1751"/>
      <c r="G368" s="1752"/>
      <c r="H368" s="835"/>
      <c r="I368" s="1327" t="e">
        <f t="shared" si="65"/>
        <v>#DIV/0!</v>
      </c>
      <c r="J368" s="736" t="s">
        <v>365</v>
      </c>
      <c r="K368" s="736" t="s">
        <v>365</v>
      </c>
      <c r="L368" s="1330" t="str">
        <f t="shared" si="66"/>
        <v>Non renseigné</v>
      </c>
      <c r="M368" s="736" t="str">
        <f t="shared" si="67"/>
        <v>-</v>
      </c>
      <c r="N368" s="822" t="e">
        <f t="shared" si="68"/>
        <v>#VALUE!</v>
      </c>
      <c r="O368" s="733" t="e">
        <f t="shared" si="69"/>
        <v>#VALUE!</v>
      </c>
      <c r="P368" s="822" t="e">
        <f t="shared" si="70"/>
        <v>#VALUE!</v>
      </c>
      <c r="Q368" s="823"/>
      <c r="R368" s="942"/>
      <c r="S368" s="402" t="e">
        <f t="shared" si="17"/>
        <v>#VALUE!</v>
      </c>
      <c r="T368" s="402" t="e">
        <f t="shared" si="18"/>
        <v>#VALUE!</v>
      </c>
      <c r="U368" s="402" t="e">
        <f t="shared" si="19"/>
        <v>#VALUE!</v>
      </c>
      <c r="V368" s="402" t="e">
        <f t="shared" si="20"/>
        <v>#VALUE!</v>
      </c>
      <c r="W368" s="402" t="e">
        <f t="shared" si="21"/>
        <v>#VALUE!</v>
      </c>
      <c r="X368" s="402" t="e">
        <f t="shared" si="22"/>
        <v>#VALUE!</v>
      </c>
      <c r="Y368" s="402" t="e">
        <f t="shared" si="23"/>
        <v>#VALUE!</v>
      </c>
      <c r="Z368" s="402" t="e">
        <f t="shared" si="24"/>
        <v>#VALUE!</v>
      </c>
      <c r="AA368" s="402" t="e">
        <f t="shared" si="25"/>
        <v>#VALUE!</v>
      </c>
      <c r="AB368" s="669" t="e">
        <f t="shared" si="26"/>
        <v>#VALUE!</v>
      </c>
      <c r="AC368" s="403"/>
    </row>
    <row r="369" spans="2:29" s="121" customFormat="1" outlineLevel="1">
      <c r="B369" s="1167"/>
      <c r="C369" s="1168"/>
      <c r="D369" s="1750" t="s">
        <v>290</v>
      </c>
      <c r="E369" s="1751"/>
      <c r="F369" s="1751"/>
      <c r="G369" s="1752"/>
      <c r="H369" s="835"/>
      <c r="I369" s="1327" t="e">
        <f t="shared" si="65"/>
        <v>#DIV/0!</v>
      </c>
      <c r="J369" s="736" t="s">
        <v>365</v>
      </c>
      <c r="K369" s="736" t="s">
        <v>365</v>
      </c>
      <c r="L369" s="1330" t="str">
        <f t="shared" si="66"/>
        <v>Non renseigné</v>
      </c>
      <c r="M369" s="736" t="str">
        <f t="shared" si="67"/>
        <v>-</v>
      </c>
      <c r="N369" s="822" t="e">
        <f t="shared" si="68"/>
        <v>#VALUE!</v>
      </c>
      <c r="O369" s="733" t="e">
        <f t="shared" si="69"/>
        <v>#VALUE!</v>
      </c>
      <c r="P369" s="822" t="e">
        <f t="shared" si="70"/>
        <v>#VALUE!</v>
      </c>
      <c r="Q369" s="823"/>
      <c r="R369" s="942"/>
      <c r="S369" s="402" t="e">
        <f t="shared" si="17"/>
        <v>#VALUE!</v>
      </c>
      <c r="T369" s="402" t="e">
        <f t="shared" si="18"/>
        <v>#VALUE!</v>
      </c>
      <c r="U369" s="402" t="e">
        <f t="shared" si="19"/>
        <v>#VALUE!</v>
      </c>
      <c r="V369" s="402" t="e">
        <f t="shared" si="20"/>
        <v>#VALUE!</v>
      </c>
      <c r="W369" s="402" t="e">
        <f t="shared" si="21"/>
        <v>#VALUE!</v>
      </c>
      <c r="X369" s="402" t="e">
        <f t="shared" si="22"/>
        <v>#VALUE!</v>
      </c>
      <c r="Y369" s="402" t="e">
        <f t="shared" si="23"/>
        <v>#VALUE!</v>
      </c>
      <c r="Z369" s="402" t="e">
        <f t="shared" si="24"/>
        <v>#VALUE!</v>
      </c>
      <c r="AA369" s="402" t="e">
        <f t="shared" si="25"/>
        <v>#VALUE!</v>
      </c>
      <c r="AB369" s="669" t="e">
        <f t="shared" si="26"/>
        <v>#VALUE!</v>
      </c>
      <c r="AC369" s="403"/>
    </row>
    <row r="370" spans="2:29" s="121" customFormat="1" outlineLevel="1">
      <c r="B370" s="1167"/>
      <c r="C370" s="1168"/>
      <c r="D370" s="1750" t="s">
        <v>290</v>
      </c>
      <c r="E370" s="1751"/>
      <c r="F370" s="1751"/>
      <c r="G370" s="1752"/>
      <c r="H370" s="835"/>
      <c r="I370" s="1327" t="e">
        <f t="shared" si="65"/>
        <v>#DIV/0!</v>
      </c>
      <c r="J370" s="736" t="s">
        <v>365</v>
      </c>
      <c r="K370" s="736" t="s">
        <v>365</v>
      </c>
      <c r="L370" s="1330" t="str">
        <f t="shared" si="66"/>
        <v>Non renseigné</v>
      </c>
      <c r="M370" s="736" t="str">
        <f t="shared" si="67"/>
        <v>-</v>
      </c>
      <c r="N370" s="822" t="e">
        <f t="shared" si="68"/>
        <v>#VALUE!</v>
      </c>
      <c r="O370" s="733" t="e">
        <f t="shared" si="69"/>
        <v>#VALUE!</v>
      </c>
      <c r="P370" s="822" t="e">
        <f t="shared" si="70"/>
        <v>#VALUE!</v>
      </c>
      <c r="Q370" s="823"/>
      <c r="R370" s="942"/>
      <c r="S370" s="402" t="e">
        <f t="shared" si="17"/>
        <v>#VALUE!</v>
      </c>
      <c r="T370" s="402" t="e">
        <f t="shared" si="18"/>
        <v>#VALUE!</v>
      </c>
      <c r="U370" s="402" t="e">
        <f t="shared" si="19"/>
        <v>#VALUE!</v>
      </c>
      <c r="V370" s="402" t="e">
        <f t="shared" si="20"/>
        <v>#VALUE!</v>
      </c>
      <c r="W370" s="402" t="e">
        <f t="shared" si="21"/>
        <v>#VALUE!</v>
      </c>
      <c r="X370" s="402" t="e">
        <f t="shared" si="22"/>
        <v>#VALUE!</v>
      </c>
      <c r="Y370" s="402" t="e">
        <f t="shared" si="23"/>
        <v>#VALUE!</v>
      </c>
      <c r="Z370" s="402" t="e">
        <f t="shared" si="24"/>
        <v>#VALUE!</v>
      </c>
      <c r="AA370" s="402" t="e">
        <f t="shared" si="25"/>
        <v>#VALUE!</v>
      </c>
      <c r="AB370" s="669" t="e">
        <f t="shared" si="26"/>
        <v>#VALUE!</v>
      </c>
      <c r="AC370" s="403"/>
    </row>
    <row r="371" spans="2:29" s="121" customFormat="1" outlineLevel="1">
      <c r="B371" s="1167"/>
      <c r="C371" s="1168"/>
      <c r="D371" s="1750" t="s">
        <v>290</v>
      </c>
      <c r="E371" s="1751"/>
      <c r="F371" s="1751"/>
      <c r="G371" s="1752"/>
      <c r="H371" s="835"/>
      <c r="I371" s="1327" t="e">
        <f t="shared" si="65"/>
        <v>#DIV/0!</v>
      </c>
      <c r="J371" s="736" t="s">
        <v>365</v>
      </c>
      <c r="K371" s="736" t="s">
        <v>365</v>
      </c>
      <c r="L371" s="1330" t="str">
        <f t="shared" si="66"/>
        <v>Non renseigné</v>
      </c>
      <c r="M371" s="736" t="str">
        <f t="shared" si="67"/>
        <v>-</v>
      </c>
      <c r="N371" s="822" t="e">
        <f t="shared" si="68"/>
        <v>#VALUE!</v>
      </c>
      <c r="O371" s="733" t="e">
        <f t="shared" si="69"/>
        <v>#VALUE!</v>
      </c>
      <c r="P371" s="822" t="e">
        <f t="shared" si="70"/>
        <v>#VALUE!</v>
      </c>
      <c r="Q371" s="823"/>
      <c r="R371" s="942"/>
      <c r="S371" s="402" t="e">
        <f t="shared" si="17"/>
        <v>#VALUE!</v>
      </c>
      <c r="T371" s="402" t="e">
        <f t="shared" si="18"/>
        <v>#VALUE!</v>
      </c>
      <c r="U371" s="402" t="e">
        <f t="shared" si="19"/>
        <v>#VALUE!</v>
      </c>
      <c r="V371" s="402" t="e">
        <f t="shared" si="20"/>
        <v>#VALUE!</v>
      </c>
      <c r="W371" s="402" t="e">
        <f t="shared" si="21"/>
        <v>#VALUE!</v>
      </c>
      <c r="X371" s="402" t="e">
        <f t="shared" si="22"/>
        <v>#VALUE!</v>
      </c>
      <c r="Y371" s="402" t="e">
        <f t="shared" si="23"/>
        <v>#VALUE!</v>
      </c>
      <c r="Z371" s="402" t="e">
        <f t="shared" si="24"/>
        <v>#VALUE!</v>
      </c>
      <c r="AA371" s="402" t="e">
        <f t="shared" si="25"/>
        <v>#VALUE!</v>
      </c>
      <c r="AB371" s="669" t="e">
        <f t="shared" si="26"/>
        <v>#VALUE!</v>
      </c>
      <c r="AC371" s="403"/>
    </row>
    <row r="372" spans="2:29" s="121" customFormat="1" outlineLevel="1">
      <c r="B372" s="1167"/>
      <c r="C372" s="1168"/>
      <c r="D372" s="1750" t="s">
        <v>290</v>
      </c>
      <c r="E372" s="1751"/>
      <c r="F372" s="1751"/>
      <c r="G372" s="1752"/>
      <c r="H372" s="835"/>
      <c r="I372" s="1327" t="e">
        <f t="shared" si="65"/>
        <v>#DIV/0!</v>
      </c>
      <c r="J372" s="736" t="s">
        <v>365</v>
      </c>
      <c r="K372" s="736" t="s">
        <v>365</v>
      </c>
      <c r="L372" s="1330" t="str">
        <f t="shared" si="66"/>
        <v>Non renseigné</v>
      </c>
      <c r="M372" s="736" t="str">
        <f t="shared" si="67"/>
        <v>-</v>
      </c>
      <c r="N372" s="822" t="e">
        <f t="shared" si="68"/>
        <v>#VALUE!</v>
      </c>
      <c r="O372" s="733" t="e">
        <f t="shared" si="69"/>
        <v>#VALUE!</v>
      </c>
      <c r="P372" s="822" t="e">
        <f t="shared" si="70"/>
        <v>#VALUE!</v>
      </c>
      <c r="Q372" s="823"/>
      <c r="R372" s="942"/>
      <c r="S372" s="402" t="e">
        <f t="shared" si="17"/>
        <v>#VALUE!</v>
      </c>
      <c r="T372" s="402" t="e">
        <f t="shared" si="18"/>
        <v>#VALUE!</v>
      </c>
      <c r="U372" s="402" t="e">
        <f t="shared" si="19"/>
        <v>#VALUE!</v>
      </c>
      <c r="V372" s="402" t="e">
        <f t="shared" si="20"/>
        <v>#VALUE!</v>
      </c>
      <c r="W372" s="402" t="e">
        <f t="shared" si="21"/>
        <v>#VALUE!</v>
      </c>
      <c r="X372" s="402" t="e">
        <f t="shared" si="22"/>
        <v>#VALUE!</v>
      </c>
      <c r="Y372" s="402" t="e">
        <f t="shared" si="23"/>
        <v>#VALUE!</v>
      </c>
      <c r="Z372" s="402" t="e">
        <f t="shared" si="24"/>
        <v>#VALUE!</v>
      </c>
      <c r="AA372" s="402" t="e">
        <f t="shared" si="25"/>
        <v>#VALUE!</v>
      </c>
      <c r="AB372" s="669" t="e">
        <f t="shared" si="26"/>
        <v>#VALUE!</v>
      </c>
      <c r="AC372" s="403"/>
    </row>
    <row r="373" spans="2:29" outlineLevel="1">
      <c r="B373" s="1167"/>
      <c r="C373" s="1168"/>
      <c r="D373" s="1750" t="s">
        <v>290</v>
      </c>
      <c r="E373" s="1751"/>
      <c r="F373" s="1751"/>
      <c r="G373" s="1752"/>
      <c r="H373" s="835"/>
      <c r="I373" s="1327" t="e">
        <f t="shared" si="65"/>
        <v>#DIV/0!</v>
      </c>
      <c r="J373" s="736" t="s">
        <v>365</v>
      </c>
      <c r="K373" s="736" t="s">
        <v>365</v>
      </c>
      <c r="L373" s="1330" t="str">
        <f t="shared" si="66"/>
        <v>Non renseigné</v>
      </c>
      <c r="M373" s="736" t="str">
        <f t="shared" si="67"/>
        <v>-</v>
      </c>
      <c r="N373" s="822" t="e">
        <f t="shared" si="68"/>
        <v>#VALUE!</v>
      </c>
      <c r="O373" s="733" t="e">
        <f t="shared" si="69"/>
        <v>#VALUE!</v>
      </c>
      <c r="P373" s="822" t="e">
        <f t="shared" si="70"/>
        <v>#VALUE!</v>
      </c>
      <c r="Q373" s="823"/>
      <c r="R373" s="942"/>
      <c r="S373" s="402" t="e">
        <f t="shared" si="17"/>
        <v>#VALUE!</v>
      </c>
      <c r="T373" s="402" t="e">
        <f t="shared" si="18"/>
        <v>#VALUE!</v>
      </c>
      <c r="U373" s="402" t="e">
        <f t="shared" si="19"/>
        <v>#VALUE!</v>
      </c>
      <c r="V373" s="402" t="e">
        <f t="shared" si="20"/>
        <v>#VALUE!</v>
      </c>
      <c r="W373" s="402" t="e">
        <f t="shared" si="21"/>
        <v>#VALUE!</v>
      </c>
      <c r="X373" s="402" t="e">
        <f t="shared" si="22"/>
        <v>#VALUE!</v>
      </c>
      <c r="Y373" s="402" t="e">
        <f t="shared" si="23"/>
        <v>#VALUE!</v>
      </c>
      <c r="Z373" s="402" t="e">
        <f t="shared" si="24"/>
        <v>#VALUE!</v>
      </c>
      <c r="AA373" s="402" t="e">
        <f t="shared" si="25"/>
        <v>#VALUE!</v>
      </c>
      <c r="AB373" s="669" t="e">
        <f t="shared" si="26"/>
        <v>#VALUE!</v>
      </c>
    </row>
    <row r="374" spans="2:29" s="121" customFormat="1" outlineLevel="1">
      <c r="B374" s="1167"/>
      <c r="C374" s="1168"/>
      <c r="D374" s="1750" t="s">
        <v>290</v>
      </c>
      <c r="E374" s="1751"/>
      <c r="F374" s="1751"/>
      <c r="G374" s="1752"/>
      <c r="H374" s="835"/>
      <c r="I374" s="1327" t="e">
        <f t="shared" si="65"/>
        <v>#DIV/0!</v>
      </c>
      <c r="J374" s="736" t="s">
        <v>365</v>
      </c>
      <c r="K374" s="736" t="s">
        <v>365</v>
      </c>
      <c r="L374" s="1330" t="str">
        <f t="shared" si="66"/>
        <v>Non renseigné</v>
      </c>
      <c r="M374" s="736" t="str">
        <f t="shared" si="67"/>
        <v>-</v>
      </c>
      <c r="N374" s="822" t="e">
        <f t="shared" si="68"/>
        <v>#VALUE!</v>
      </c>
      <c r="O374" s="733" t="e">
        <f t="shared" si="69"/>
        <v>#VALUE!</v>
      </c>
      <c r="P374" s="822" t="e">
        <f t="shared" si="70"/>
        <v>#VALUE!</v>
      </c>
      <c r="Q374" s="823"/>
      <c r="R374" s="942"/>
      <c r="S374" s="402" t="e">
        <f t="shared" si="17"/>
        <v>#VALUE!</v>
      </c>
      <c r="T374" s="402" t="e">
        <f t="shared" si="18"/>
        <v>#VALUE!</v>
      </c>
      <c r="U374" s="402" t="e">
        <f t="shared" si="19"/>
        <v>#VALUE!</v>
      </c>
      <c r="V374" s="402" t="e">
        <f t="shared" si="20"/>
        <v>#VALUE!</v>
      </c>
      <c r="W374" s="402" t="e">
        <f t="shared" si="21"/>
        <v>#VALUE!</v>
      </c>
      <c r="X374" s="402" t="e">
        <f t="shared" si="22"/>
        <v>#VALUE!</v>
      </c>
      <c r="Y374" s="402" t="e">
        <f t="shared" si="23"/>
        <v>#VALUE!</v>
      </c>
      <c r="Z374" s="402" t="e">
        <f t="shared" si="24"/>
        <v>#VALUE!</v>
      </c>
      <c r="AA374" s="402" t="e">
        <f t="shared" si="25"/>
        <v>#VALUE!</v>
      </c>
      <c r="AB374" s="669" t="e">
        <f t="shared" si="26"/>
        <v>#VALUE!</v>
      </c>
      <c r="AC374" s="403"/>
    </row>
    <row r="375" spans="2:29" s="121" customFormat="1" outlineLevel="1">
      <c r="B375" s="1167"/>
      <c r="C375" s="1168"/>
      <c r="D375" s="1750" t="s">
        <v>290</v>
      </c>
      <c r="E375" s="1751"/>
      <c r="F375" s="1751"/>
      <c r="G375" s="1752"/>
      <c r="H375" s="835"/>
      <c r="I375" s="1327" t="e">
        <f t="shared" si="65"/>
        <v>#DIV/0!</v>
      </c>
      <c r="J375" s="736" t="s">
        <v>365</v>
      </c>
      <c r="K375" s="736" t="s">
        <v>365</v>
      </c>
      <c r="L375" s="1330" t="str">
        <f t="shared" si="66"/>
        <v>Non renseigné</v>
      </c>
      <c r="M375" s="736" t="str">
        <f t="shared" si="67"/>
        <v>-</v>
      </c>
      <c r="N375" s="822" t="e">
        <f t="shared" si="68"/>
        <v>#VALUE!</v>
      </c>
      <c r="O375" s="733" t="e">
        <f t="shared" si="69"/>
        <v>#VALUE!</v>
      </c>
      <c r="P375" s="822" t="e">
        <f t="shared" si="70"/>
        <v>#VALUE!</v>
      </c>
      <c r="Q375" s="823"/>
      <c r="R375" s="942"/>
      <c r="S375" s="402" t="e">
        <f t="shared" si="17"/>
        <v>#VALUE!</v>
      </c>
      <c r="T375" s="402" t="e">
        <f t="shared" si="18"/>
        <v>#VALUE!</v>
      </c>
      <c r="U375" s="402" t="e">
        <f t="shared" si="19"/>
        <v>#VALUE!</v>
      </c>
      <c r="V375" s="402" t="e">
        <f t="shared" si="20"/>
        <v>#VALUE!</v>
      </c>
      <c r="W375" s="402" t="e">
        <f t="shared" si="21"/>
        <v>#VALUE!</v>
      </c>
      <c r="X375" s="402" t="e">
        <f t="shared" si="22"/>
        <v>#VALUE!</v>
      </c>
      <c r="Y375" s="402" t="e">
        <f t="shared" si="23"/>
        <v>#VALUE!</v>
      </c>
      <c r="Z375" s="402" t="e">
        <f t="shared" si="24"/>
        <v>#VALUE!</v>
      </c>
      <c r="AA375" s="402" t="e">
        <f t="shared" si="25"/>
        <v>#VALUE!</v>
      </c>
      <c r="AB375" s="669" t="e">
        <f t="shared" si="26"/>
        <v>#VALUE!</v>
      </c>
      <c r="AC375" s="403"/>
    </row>
    <row r="376" spans="2:29" s="121" customFormat="1" outlineLevel="1">
      <c r="B376" s="1167"/>
      <c r="C376" s="1168"/>
      <c r="D376" s="1750" t="s">
        <v>290</v>
      </c>
      <c r="E376" s="1751"/>
      <c r="F376" s="1751"/>
      <c r="G376" s="1752"/>
      <c r="H376" s="835"/>
      <c r="I376" s="1327" t="e">
        <f t="shared" si="65"/>
        <v>#DIV/0!</v>
      </c>
      <c r="J376" s="736" t="s">
        <v>365</v>
      </c>
      <c r="K376" s="736" t="s">
        <v>365</v>
      </c>
      <c r="L376" s="1330" t="str">
        <f t="shared" si="66"/>
        <v>Non renseigné</v>
      </c>
      <c r="M376" s="736" t="str">
        <f t="shared" si="67"/>
        <v>-</v>
      </c>
      <c r="N376" s="822" t="e">
        <f t="shared" si="68"/>
        <v>#VALUE!</v>
      </c>
      <c r="O376" s="733" t="e">
        <f t="shared" si="69"/>
        <v>#VALUE!</v>
      </c>
      <c r="P376" s="822" t="e">
        <f t="shared" si="70"/>
        <v>#VALUE!</v>
      </c>
      <c r="Q376" s="823"/>
      <c r="R376" s="942"/>
      <c r="S376" s="402" t="e">
        <f t="shared" si="17"/>
        <v>#VALUE!</v>
      </c>
      <c r="T376" s="402" t="e">
        <f t="shared" si="18"/>
        <v>#VALUE!</v>
      </c>
      <c r="U376" s="402" t="e">
        <f t="shared" si="19"/>
        <v>#VALUE!</v>
      </c>
      <c r="V376" s="402" t="e">
        <f t="shared" si="20"/>
        <v>#VALUE!</v>
      </c>
      <c r="W376" s="402" t="e">
        <f t="shared" si="21"/>
        <v>#VALUE!</v>
      </c>
      <c r="X376" s="402" t="e">
        <f t="shared" si="22"/>
        <v>#VALUE!</v>
      </c>
      <c r="Y376" s="402" t="e">
        <f t="shared" si="23"/>
        <v>#VALUE!</v>
      </c>
      <c r="Z376" s="402" t="e">
        <f t="shared" si="24"/>
        <v>#VALUE!</v>
      </c>
      <c r="AA376" s="402" t="e">
        <f t="shared" si="25"/>
        <v>#VALUE!</v>
      </c>
      <c r="AB376" s="669" t="e">
        <f t="shared" si="26"/>
        <v>#VALUE!</v>
      </c>
      <c r="AC376" s="403"/>
    </row>
    <row r="377" spans="2:29" s="121" customFormat="1" outlineLevel="1">
      <c r="B377" s="1167"/>
      <c r="C377" s="1168"/>
      <c r="D377" s="1750" t="s">
        <v>290</v>
      </c>
      <c r="E377" s="1751"/>
      <c r="F377" s="1751"/>
      <c r="G377" s="1752"/>
      <c r="H377" s="835"/>
      <c r="I377" s="1327" t="e">
        <f t="shared" si="65"/>
        <v>#DIV/0!</v>
      </c>
      <c r="J377" s="736" t="s">
        <v>365</v>
      </c>
      <c r="K377" s="736" t="s">
        <v>365</v>
      </c>
      <c r="L377" s="1330" t="str">
        <f t="shared" si="66"/>
        <v>Non renseigné</v>
      </c>
      <c r="M377" s="736" t="str">
        <f t="shared" si="67"/>
        <v>-</v>
      </c>
      <c r="N377" s="822" t="e">
        <f t="shared" si="68"/>
        <v>#VALUE!</v>
      </c>
      <c r="O377" s="733" t="e">
        <f t="shared" si="69"/>
        <v>#VALUE!</v>
      </c>
      <c r="P377" s="822" t="e">
        <f t="shared" si="70"/>
        <v>#VALUE!</v>
      </c>
      <c r="Q377" s="823"/>
      <c r="R377" s="942"/>
      <c r="S377" s="402" t="e">
        <f t="shared" si="17"/>
        <v>#VALUE!</v>
      </c>
      <c r="T377" s="402" t="e">
        <f t="shared" si="18"/>
        <v>#VALUE!</v>
      </c>
      <c r="U377" s="402" t="e">
        <f t="shared" si="19"/>
        <v>#VALUE!</v>
      </c>
      <c r="V377" s="402" t="e">
        <f t="shared" si="20"/>
        <v>#VALUE!</v>
      </c>
      <c r="W377" s="402" t="e">
        <f t="shared" si="21"/>
        <v>#VALUE!</v>
      </c>
      <c r="X377" s="402" t="e">
        <f t="shared" si="22"/>
        <v>#VALUE!</v>
      </c>
      <c r="Y377" s="402" t="e">
        <f t="shared" si="23"/>
        <v>#VALUE!</v>
      </c>
      <c r="Z377" s="402" t="e">
        <f t="shared" si="24"/>
        <v>#VALUE!</v>
      </c>
      <c r="AA377" s="402" t="e">
        <f t="shared" si="25"/>
        <v>#VALUE!</v>
      </c>
      <c r="AB377" s="669" t="e">
        <f t="shared" si="26"/>
        <v>#VALUE!</v>
      </c>
      <c r="AC377" s="403"/>
    </row>
    <row r="378" spans="2:29" s="121" customFormat="1" outlineLevel="1">
      <c r="B378" s="1167"/>
      <c r="C378" s="1168"/>
      <c r="D378" s="1750" t="s">
        <v>290</v>
      </c>
      <c r="E378" s="1751"/>
      <c r="F378" s="1751"/>
      <c r="G378" s="1752"/>
      <c r="H378" s="835"/>
      <c r="I378" s="1327" t="e">
        <f t="shared" si="65"/>
        <v>#DIV/0!</v>
      </c>
      <c r="J378" s="736" t="s">
        <v>365</v>
      </c>
      <c r="K378" s="736" t="s">
        <v>365</v>
      </c>
      <c r="L378" s="1330" t="str">
        <f t="shared" si="66"/>
        <v>Non renseigné</v>
      </c>
      <c r="M378" s="736" t="str">
        <f t="shared" si="67"/>
        <v>-</v>
      </c>
      <c r="N378" s="822" t="e">
        <f t="shared" si="68"/>
        <v>#VALUE!</v>
      </c>
      <c r="O378" s="733" t="e">
        <f t="shared" si="69"/>
        <v>#VALUE!</v>
      </c>
      <c r="P378" s="822" t="e">
        <f t="shared" si="70"/>
        <v>#VALUE!</v>
      </c>
      <c r="Q378" s="823"/>
      <c r="R378" s="942"/>
      <c r="S378" s="402" t="e">
        <f t="shared" si="17"/>
        <v>#VALUE!</v>
      </c>
      <c r="T378" s="402" t="e">
        <f t="shared" si="18"/>
        <v>#VALUE!</v>
      </c>
      <c r="U378" s="402" t="e">
        <f t="shared" si="19"/>
        <v>#VALUE!</v>
      </c>
      <c r="V378" s="402" t="e">
        <f t="shared" si="20"/>
        <v>#VALUE!</v>
      </c>
      <c r="W378" s="402" t="e">
        <f t="shared" si="21"/>
        <v>#VALUE!</v>
      </c>
      <c r="X378" s="402" t="e">
        <f t="shared" si="22"/>
        <v>#VALUE!</v>
      </c>
      <c r="Y378" s="402" t="e">
        <f t="shared" si="23"/>
        <v>#VALUE!</v>
      </c>
      <c r="Z378" s="402" t="e">
        <f t="shared" si="24"/>
        <v>#VALUE!</v>
      </c>
      <c r="AA378" s="402" t="e">
        <f t="shared" si="25"/>
        <v>#VALUE!</v>
      </c>
      <c r="AB378" s="669" t="e">
        <f t="shared" si="26"/>
        <v>#VALUE!</v>
      </c>
      <c r="AC378" s="403"/>
    </row>
    <row r="379" spans="2:29" s="121" customFormat="1" outlineLevel="1">
      <c r="B379" s="1167"/>
      <c r="C379" s="1168"/>
      <c r="D379" s="1750" t="s">
        <v>290</v>
      </c>
      <c r="E379" s="1751"/>
      <c r="F379" s="1751"/>
      <c r="G379" s="1752"/>
      <c r="H379" s="835"/>
      <c r="I379" s="1327" t="e">
        <f t="shared" si="65"/>
        <v>#DIV/0!</v>
      </c>
      <c r="J379" s="736" t="s">
        <v>365</v>
      </c>
      <c r="K379" s="736" t="s">
        <v>365</v>
      </c>
      <c r="L379" s="1330" t="str">
        <f t="shared" si="66"/>
        <v>Non renseigné</v>
      </c>
      <c r="M379" s="736" t="str">
        <f t="shared" si="67"/>
        <v>-</v>
      </c>
      <c r="N379" s="822" t="e">
        <f t="shared" si="68"/>
        <v>#VALUE!</v>
      </c>
      <c r="O379" s="733" t="e">
        <f t="shared" si="69"/>
        <v>#VALUE!</v>
      </c>
      <c r="P379" s="822" t="e">
        <f t="shared" si="70"/>
        <v>#VALUE!</v>
      </c>
      <c r="Q379" s="823"/>
      <c r="R379" s="942"/>
      <c r="S379" s="402" t="e">
        <f t="shared" si="17"/>
        <v>#VALUE!</v>
      </c>
      <c r="T379" s="402" t="e">
        <f t="shared" si="18"/>
        <v>#VALUE!</v>
      </c>
      <c r="U379" s="402" t="e">
        <f t="shared" si="19"/>
        <v>#VALUE!</v>
      </c>
      <c r="V379" s="402" t="e">
        <f t="shared" si="20"/>
        <v>#VALUE!</v>
      </c>
      <c r="W379" s="402" t="e">
        <f t="shared" si="21"/>
        <v>#VALUE!</v>
      </c>
      <c r="X379" s="402" t="e">
        <f t="shared" si="22"/>
        <v>#VALUE!</v>
      </c>
      <c r="Y379" s="402" t="e">
        <f t="shared" si="23"/>
        <v>#VALUE!</v>
      </c>
      <c r="Z379" s="402" t="e">
        <f t="shared" si="24"/>
        <v>#VALUE!</v>
      </c>
      <c r="AA379" s="402" t="e">
        <f t="shared" si="25"/>
        <v>#VALUE!</v>
      </c>
      <c r="AB379" s="669" t="e">
        <f t="shared" si="26"/>
        <v>#VALUE!</v>
      </c>
      <c r="AC379" s="403"/>
    </row>
    <row r="380" spans="2:29" s="121" customFormat="1" outlineLevel="1">
      <c r="B380" s="1167"/>
      <c r="C380" s="1168"/>
      <c r="D380" s="1750" t="s">
        <v>290</v>
      </c>
      <c r="E380" s="1751"/>
      <c r="F380" s="1751"/>
      <c r="G380" s="1752"/>
      <c r="H380" s="835"/>
      <c r="I380" s="1327" t="e">
        <f t="shared" si="65"/>
        <v>#DIV/0!</v>
      </c>
      <c r="J380" s="736" t="s">
        <v>365</v>
      </c>
      <c r="K380" s="736" t="s">
        <v>365</v>
      </c>
      <c r="L380" s="1330" t="str">
        <f t="shared" si="66"/>
        <v>Non renseigné</v>
      </c>
      <c r="M380" s="736" t="str">
        <f t="shared" si="67"/>
        <v>-</v>
      </c>
      <c r="N380" s="822" t="e">
        <f t="shared" si="68"/>
        <v>#VALUE!</v>
      </c>
      <c r="O380" s="733" t="e">
        <f t="shared" si="69"/>
        <v>#VALUE!</v>
      </c>
      <c r="P380" s="822" t="e">
        <f t="shared" si="70"/>
        <v>#VALUE!</v>
      </c>
      <c r="Q380" s="823"/>
      <c r="R380" s="942"/>
      <c r="S380" s="402" t="e">
        <f t="shared" si="17"/>
        <v>#VALUE!</v>
      </c>
      <c r="T380" s="402" t="e">
        <f t="shared" si="18"/>
        <v>#VALUE!</v>
      </c>
      <c r="U380" s="402" t="e">
        <f t="shared" si="19"/>
        <v>#VALUE!</v>
      </c>
      <c r="V380" s="402" t="e">
        <f t="shared" si="20"/>
        <v>#VALUE!</v>
      </c>
      <c r="W380" s="402" t="e">
        <f t="shared" si="21"/>
        <v>#VALUE!</v>
      </c>
      <c r="X380" s="402" t="e">
        <f t="shared" si="22"/>
        <v>#VALUE!</v>
      </c>
      <c r="Y380" s="402" t="e">
        <f t="shared" si="23"/>
        <v>#VALUE!</v>
      </c>
      <c r="Z380" s="402" t="e">
        <f t="shared" si="24"/>
        <v>#VALUE!</v>
      </c>
      <c r="AA380" s="402" t="e">
        <f t="shared" si="25"/>
        <v>#VALUE!</v>
      </c>
      <c r="AB380" s="669" t="e">
        <f t="shared" si="26"/>
        <v>#VALUE!</v>
      </c>
      <c r="AC380" s="403"/>
    </row>
    <row r="381" spans="2:29" s="121" customFormat="1" outlineLevel="1">
      <c r="B381" s="1167"/>
      <c r="C381" s="1168"/>
      <c r="D381" s="1750" t="s">
        <v>290</v>
      </c>
      <c r="E381" s="1751"/>
      <c r="F381" s="1751"/>
      <c r="G381" s="1752"/>
      <c r="H381" s="835"/>
      <c r="I381" s="1327" t="e">
        <f t="shared" si="65"/>
        <v>#DIV/0!</v>
      </c>
      <c r="J381" s="736" t="s">
        <v>365</v>
      </c>
      <c r="K381" s="736" t="s">
        <v>365</v>
      </c>
      <c r="L381" s="1330" t="str">
        <f t="shared" si="66"/>
        <v>Non renseigné</v>
      </c>
      <c r="M381" s="736" t="str">
        <f t="shared" si="67"/>
        <v>-</v>
      </c>
      <c r="N381" s="822" t="e">
        <f t="shared" si="68"/>
        <v>#VALUE!</v>
      </c>
      <c r="O381" s="733" t="e">
        <f t="shared" si="69"/>
        <v>#VALUE!</v>
      </c>
      <c r="P381" s="822" t="e">
        <f t="shared" si="70"/>
        <v>#VALUE!</v>
      </c>
      <c r="Q381" s="823"/>
      <c r="R381" s="942"/>
      <c r="S381" s="402" t="e">
        <f t="shared" si="17"/>
        <v>#VALUE!</v>
      </c>
      <c r="T381" s="402" t="e">
        <f t="shared" si="18"/>
        <v>#VALUE!</v>
      </c>
      <c r="U381" s="402" t="e">
        <f t="shared" si="19"/>
        <v>#VALUE!</v>
      </c>
      <c r="V381" s="402" t="e">
        <f t="shared" si="20"/>
        <v>#VALUE!</v>
      </c>
      <c r="W381" s="402" t="e">
        <f t="shared" si="21"/>
        <v>#VALUE!</v>
      </c>
      <c r="X381" s="402" t="e">
        <f t="shared" si="22"/>
        <v>#VALUE!</v>
      </c>
      <c r="Y381" s="402" t="e">
        <f t="shared" si="23"/>
        <v>#VALUE!</v>
      </c>
      <c r="Z381" s="402" t="e">
        <f t="shared" si="24"/>
        <v>#VALUE!</v>
      </c>
      <c r="AA381" s="402" t="e">
        <f t="shared" si="25"/>
        <v>#VALUE!</v>
      </c>
      <c r="AB381" s="669" t="e">
        <f t="shared" si="26"/>
        <v>#VALUE!</v>
      </c>
      <c r="AC381" s="403"/>
    </row>
    <row r="382" spans="2:29" s="121" customFormat="1" outlineLevel="1">
      <c r="B382" s="1167"/>
      <c r="C382" s="1168"/>
      <c r="D382" s="1750" t="s">
        <v>290</v>
      </c>
      <c r="E382" s="1751"/>
      <c r="F382" s="1751"/>
      <c r="G382" s="1752"/>
      <c r="H382" s="835"/>
      <c r="I382" s="1327" t="e">
        <f t="shared" si="65"/>
        <v>#DIV/0!</v>
      </c>
      <c r="J382" s="736" t="s">
        <v>365</v>
      </c>
      <c r="K382" s="736" t="s">
        <v>365</v>
      </c>
      <c r="L382" s="1330" t="str">
        <f t="shared" si="66"/>
        <v>Non renseigné</v>
      </c>
      <c r="M382" s="736" t="str">
        <f t="shared" si="67"/>
        <v>-</v>
      </c>
      <c r="N382" s="822" t="e">
        <f t="shared" si="68"/>
        <v>#VALUE!</v>
      </c>
      <c r="O382" s="733" t="e">
        <f t="shared" si="69"/>
        <v>#VALUE!</v>
      </c>
      <c r="P382" s="822" t="e">
        <f t="shared" si="70"/>
        <v>#VALUE!</v>
      </c>
      <c r="Q382" s="823"/>
      <c r="R382" s="942"/>
      <c r="S382" s="402" t="e">
        <f t="shared" si="17"/>
        <v>#VALUE!</v>
      </c>
      <c r="T382" s="402" t="e">
        <f t="shared" si="18"/>
        <v>#VALUE!</v>
      </c>
      <c r="U382" s="402" t="e">
        <f t="shared" si="19"/>
        <v>#VALUE!</v>
      </c>
      <c r="V382" s="402" t="e">
        <f t="shared" si="20"/>
        <v>#VALUE!</v>
      </c>
      <c r="W382" s="402" t="e">
        <f t="shared" si="21"/>
        <v>#VALUE!</v>
      </c>
      <c r="X382" s="402" t="e">
        <f t="shared" si="22"/>
        <v>#VALUE!</v>
      </c>
      <c r="Y382" s="402" t="e">
        <f t="shared" si="23"/>
        <v>#VALUE!</v>
      </c>
      <c r="Z382" s="402" t="e">
        <f t="shared" si="24"/>
        <v>#VALUE!</v>
      </c>
      <c r="AA382" s="402" t="e">
        <f t="shared" si="25"/>
        <v>#VALUE!</v>
      </c>
      <c r="AB382" s="669" t="e">
        <f t="shared" si="26"/>
        <v>#VALUE!</v>
      </c>
      <c r="AC382" s="403"/>
    </row>
    <row r="383" spans="2:29" outlineLevel="1">
      <c r="B383" s="1167"/>
      <c r="C383" s="1168"/>
      <c r="D383" s="1750" t="s">
        <v>290</v>
      </c>
      <c r="E383" s="1751"/>
      <c r="F383" s="1751"/>
      <c r="G383" s="1752"/>
      <c r="H383" s="835"/>
      <c r="I383" s="1327" t="e">
        <f t="shared" si="65"/>
        <v>#DIV/0!</v>
      </c>
      <c r="J383" s="736" t="s">
        <v>365</v>
      </c>
      <c r="K383" s="736" t="s">
        <v>365</v>
      </c>
      <c r="L383" s="1330" t="str">
        <f t="shared" si="66"/>
        <v>Non renseigné</v>
      </c>
      <c r="M383" s="736" t="str">
        <f t="shared" si="67"/>
        <v>-</v>
      </c>
      <c r="N383" s="822" t="e">
        <f t="shared" si="68"/>
        <v>#VALUE!</v>
      </c>
      <c r="O383" s="733" t="e">
        <f t="shared" si="69"/>
        <v>#VALUE!</v>
      </c>
      <c r="P383" s="822" t="e">
        <f t="shared" si="70"/>
        <v>#VALUE!</v>
      </c>
      <c r="Q383" s="823"/>
      <c r="R383" s="942"/>
      <c r="S383" s="402" t="e">
        <f t="shared" si="17"/>
        <v>#VALUE!</v>
      </c>
      <c r="T383" s="402" t="e">
        <f t="shared" si="18"/>
        <v>#VALUE!</v>
      </c>
      <c r="U383" s="402" t="e">
        <f t="shared" si="19"/>
        <v>#VALUE!</v>
      </c>
      <c r="V383" s="402" t="e">
        <f t="shared" si="20"/>
        <v>#VALUE!</v>
      </c>
      <c r="W383" s="402" t="e">
        <f t="shared" si="21"/>
        <v>#VALUE!</v>
      </c>
      <c r="X383" s="402" t="e">
        <f t="shared" si="22"/>
        <v>#VALUE!</v>
      </c>
      <c r="Y383" s="402" t="e">
        <f t="shared" si="23"/>
        <v>#VALUE!</v>
      </c>
      <c r="Z383" s="402" t="e">
        <f t="shared" si="24"/>
        <v>#VALUE!</v>
      </c>
      <c r="AA383" s="402" t="e">
        <f t="shared" si="25"/>
        <v>#VALUE!</v>
      </c>
      <c r="AB383" s="669" t="e">
        <f t="shared" si="26"/>
        <v>#VALUE!</v>
      </c>
    </row>
    <row r="384" spans="2:29" s="121" customFormat="1" outlineLevel="1">
      <c r="B384" s="1167"/>
      <c r="C384" s="1168"/>
      <c r="D384" s="1750" t="s">
        <v>290</v>
      </c>
      <c r="E384" s="1751"/>
      <c r="F384" s="1751"/>
      <c r="G384" s="1752"/>
      <c r="H384" s="835"/>
      <c r="I384" s="1327" t="e">
        <f t="shared" si="65"/>
        <v>#DIV/0!</v>
      </c>
      <c r="J384" s="736" t="s">
        <v>365</v>
      </c>
      <c r="K384" s="736" t="s">
        <v>365</v>
      </c>
      <c r="L384" s="1330" t="str">
        <f t="shared" si="66"/>
        <v>Non renseigné</v>
      </c>
      <c r="M384" s="736" t="str">
        <f t="shared" si="67"/>
        <v>-</v>
      </c>
      <c r="N384" s="822" t="e">
        <f t="shared" si="68"/>
        <v>#VALUE!</v>
      </c>
      <c r="O384" s="733" t="e">
        <f t="shared" si="69"/>
        <v>#VALUE!</v>
      </c>
      <c r="P384" s="822" t="e">
        <f t="shared" si="70"/>
        <v>#VALUE!</v>
      </c>
      <c r="Q384" s="823"/>
      <c r="R384" s="942"/>
      <c r="S384" s="402" t="e">
        <f t="shared" si="17"/>
        <v>#VALUE!</v>
      </c>
      <c r="T384" s="402" t="e">
        <f t="shared" si="18"/>
        <v>#VALUE!</v>
      </c>
      <c r="U384" s="402" t="e">
        <f t="shared" si="19"/>
        <v>#VALUE!</v>
      </c>
      <c r="V384" s="402" t="e">
        <f t="shared" si="20"/>
        <v>#VALUE!</v>
      </c>
      <c r="W384" s="402" t="e">
        <f t="shared" si="21"/>
        <v>#VALUE!</v>
      </c>
      <c r="X384" s="402" t="e">
        <f t="shared" si="22"/>
        <v>#VALUE!</v>
      </c>
      <c r="Y384" s="402" t="e">
        <f t="shared" si="23"/>
        <v>#VALUE!</v>
      </c>
      <c r="Z384" s="402" t="e">
        <f t="shared" si="24"/>
        <v>#VALUE!</v>
      </c>
      <c r="AA384" s="402" t="e">
        <f t="shared" si="25"/>
        <v>#VALUE!</v>
      </c>
      <c r="AB384" s="669" t="e">
        <f t="shared" si="26"/>
        <v>#VALUE!</v>
      </c>
      <c r="AC384" s="403"/>
    </row>
    <row r="385" spans="2:29" s="121" customFormat="1" outlineLevel="1">
      <c r="B385" s="1167"/>
      <c r="C385" s="1168"/>
      <c r="D385" s="1750" t="s">
        <v>290</v>
      </c>
      <c r="E385" s="1751"/>
      <c r="F385" s="1751"/>
      <c r="G385" s="1752"/>
      <c r="H385" s="835"/>
      <c r="I385" s="1327" t="e">
        <f t="shared" si="65"/>
        <v>#DIV/0!</v>
      </c>
      <c r="J385" s="736" t="s">
        <v>365</v>
      </c>
      <c r="K385" s="736" t="s">
        <v>365</v>
      </c>
      <c r="L385" s="1330" t="str">
        <f t="shared" si="66"/>
        <v>Non renseigné</v>
      </c>
      <c r="M385" s="736" t="str">
        <f t="shared" si="67"/>
        <v>-</v>
      </c>
      <c r="N385" s="822" t="e">
        <f t="shared" si="68"/>
        <v>#VALUE!</v>
      </c>
      <c r="O385" s="733" t="e">
        <f t="shared" si="69"/>
        <v>#VALUE!</v>
      </c>
      <c r="P385" s="822" t="e">
        <f t="shared" si="70"/>
        <v>#VALUE!</v>
      </c>
      <c r="Q385" s="823"/>
      <c r="R385" s="942"/>
      <c r="S385" s="402" t="e">
        <f t="shared" si="17"/>
        <v>#VALUE!</v>
      </c>
      <c r="T385" s="402" t="e">
        <f t="shared" si="18"/>
        <v>#VALUE!</v>
      </c>
      <c r="U385" s="402" t="e">
        <f t="shared" si="19"/>
        <v>#VALUE!</v>
      </c>
      <c r="V385" s="402" t="e">
        <f t="shared" si="20"/>
        <v>#VALUE!</v>
      </c>
      <c r="W385" s="402" t="e">
        <f t="shared" si="21"/>
        <v>#VALUE!</v>
      </c>
      <c r="X385" s="402" t="e">
        <f t="shared" si="22"/>
        <v>#VALUE!</v>
      </c>
      <c r="Y385" s="402" t="e">
        <f t="shared" si="23"/>
        <v>#VALUE!</v>
      </c>
      <c r="Z385" s="402" t="e">
        <f t="shared" si="24"/>
        <v>#VALUE!</v>
      </c>
      <c r="AA385" s="402" t="e">
        <f t="shared" si="25"/>
        <v>#VALUE!</v>
      </c>
      <c r="AB385" s="669" t="e">
        <f t="shared" si="26"/>
        <v>#VALUE!</v>
      </c>
      <c r="AC385" s="403"/>
    </row>
    <row r="386" spans="2:29" s="121" customFormat="1" outlineLevel="1">
      <c r="B386" s="1167"/>
      <c r="C386" s="1168"/>
      <c r="D386" s="1750" t="s">
        <v>290</v>
      </c>
      <c r="E386" s="1751"/>
      <c r="F386" s="1751"/>
      <c r="G386" s="1752"/>
      <c r="H386" s="835"/>
      <c r="I386" s="1327" t="e">
        <f t="shared" si="65"/>
        <v>#DIV/0!</v>
      </c>
      <c r="J386" s="736" t="s">
        <v>365</v>
      </c>
      <c r="K386" s="736" t="s">
        <v>365</v>
      </c>
      <c r="L386" s="1330" t="str">
        <f t="shared" si="66"/>
        <v>Non renseigné</v>
      </c>
      <c r="M386" s="736" t="str">
        <f t="shared" si="67"/>
        <v>-</v>
      </c>
      <c r="N386" s="822" t="e">
        <f t="shared" si="68"/>
        <v>#VALUE!</v>
      </c>
      <c r="O386" s="733" t="e">
        <f t="shared" si="69"/>
        <v>#VALUE!</v>
      </c>
      <c r="P386" s="822" t="e">
        <f t="shared" si="70"/>
        <v>#VALUE!</v>
      </c>
      <c r="Q386" s="823"/>
      <c r="R386" s="942"/>
      <c r="S386" s="402" t="e">
        <f t="shared" si="17"/>
        <v>#VALUE!</v>
      </c>
      <c r="T386" s="402" t="e">
        <f t="shared" si="18"/>
        <v>#VALUE!</v>
      </c>
      <c r="U386" s="402" t="e">
        <f t="shared" si="19"/>
        <v>#VALUE!</v>
      </c>
      <c r="V386" s="402" t="e">
        <f t="shared" si="20"/>
        <v>#VALUE!</v>
      </c>
      <c r="W386" s="402" t="e">
        <f t="shared" si="21"/>
        <v>#VALUE!</v>
      </c>
      <c r="X386" s="402" t="e">
        <f t="shared" si="22"/>
        <v>#VALUE!</v>
      </c>
      <c r="Y386" s="402" t="e">
        <f t="shared" si="23"/>
        <v>#VALUE!</v>
      </c>
      <c r="Z386" s="402" t="e">
        <f t="shared" si="24"/>
        <v>#VALUE!</v>
      </c>
      <c r="AA386" s="402" t="e">
        <f t="shared" si="25"/>
        <v>#VALUE!</v>
      </c>
      <c r="AB386" s="669" t="e">
        <f t="shared" si="26"/>
        <v>#VALUE!</v>
      </c>
      <c r="AC386" s="403"/>
    </row>
    <row r="387" spans="2:29" s="121" customFormat="1" outlineLevel="1">
      <c r="B387" s="1167"/>
      <c r="C387" s="1168"/>
      <c r="D387" s="1750" t="s">
        <v>290</v>
      </c>
      <c r="E387" s="1751"/>
      <c r="F387" s="1751"/>
      <c r="G387" s="1752"/>
      <c r="H387" s="835"/>
      <c r="I387" s="1327" t="e">
        <f t="shared" si="65"/>
        <v>#DIV/0!</v>
      </c>
      <c r="J387" s="736" t="s">
        <v>365</v>
      </c>
      <c r="K387" s="736" t="s">
        <v>365</v>
      </c>
      <c r="L387" s="1330" t="str">
        <f t="shared" si="66"/>
        <v>Non renseigné</v>
      </c>
      <c r="M387" s="736" t="str">
        <f t="shared" si="67"/>
        <v>-</v>
      </c>
      <c r="N387" s="822" t="e">
        <f t="shared" si="68"/>
        <v>#VALUE!</v>
      </c>
      <c r="O387" s="733" t="e">
        <f t="shared" si="69"/>
        <v>#VALUE!</v>
      </c>
      <c r="P387" s="822" t="e">
        <f t="shared" si="70"/>
        <v>#VALUE!</v>
      </c>
      <c r="Q387" s="823"/>
      <c r="R387" s="942"/>
      <c r="S387" s="402" t="e">
        <f t="shared" si="17"/>
        <v>#VALUE!</v>
      </c>
      <c r="T387" s="402" t="e">
        <f t="shared" si="18"/>
        <v>#VALUE!</v>
      </c>
      <c r="U387" s="402" t="e">
        <f t="shared" si="19"/>
        <v>#VALUE!</v>
      </c>
      <c r="V387" s="402" t="e">
        <f t="shared" si="20"/>
        <v>#VALUE!</v>
      </c>
      <c r="W387" s="402" t="e">
        <f t="shared" si="21"/>
        <v>#VALUE!</v>
      </c>
      <c r="X387" s="402" t="e">
        <f t="shared" si="22"/>
        <v>#VALUE!</v>
      </c>
      <c r="Y387" s="402" t="e">
        <f t="shared" si="23"/>
        <v>#VALUE!</v>
      </c>
      <c r="Z387" s="402" t="e">
        <f t="shared" si="24"/>
        <v>#VALUE!</v>
      </c>
      <c r="AA387" s="402" t="e">
        <f t="shared" si="25"/>
        <v>#VALUE!</v>
      </c>
      <c r="AB387" s="669" t="e">
        <f t="shared" si="26"/>
        <v>#VALUE!</v>
      </c>
      <c r="AC387" s="403"/>
    </row>
    <row r="388" spans="2:29" s="121" customFormat="1" outlineLevel="1">
      <c r="B388" s="1167"/>
      <c r="C388" s="1168"/>
      <c r="D388" s="1750" t="s">
        <v>290</v>
      </c>
      <c r="E388" s="1751"/>
      <c r="F388" s="1751"/>
      <c r="G388" s="1752"/>
      <c r="H388" s="835"/>
      <c r="I388" s="1327" t="e">
        <f t="shared" si="65"/>
        <v>#DIV/0!</v>
      </c>
      <c r="J388" s="736" t="s">
        <v>365</v>
      </c>
      <c r="K388" s="736" t="s">
        <v>365</v>
      </c>
      <c r="L388" s="1330" t="str">
        <f t="shared" si="66"/>
        <v>Non renseigné</v>
      </c>
      <c r="M388" s="736" t="str">
        <f t="shared" si="67"/>
        <v>-</v>
      </c>
      <c r="N388" s="822" t="e">
        <f t="shared" si="68"/>
        <v>#VALUE!</v>
      </c>
      <c r="O388" s="733" t="e">
        <f t="shared" si="69"/>
        <v>#VALUE!</v>
      </c>
      <c r="P388" s="822" t="e">
        <f t="shared" si="70"/>
        <v>#VALUE!</v>
      </c>
      <c r="Q388" s="823"/>
      <c r="R388" s="942"/>
      <c r="S388" s="402" t="e">
        <f t="shared" si="17"/>
        <v>#VALUE!</v>
      </c>
      <c r="T388" s="402" t="e">
        <f t="shared" si="18"/>
        <v>#VALUE!</v>
      </c>
      <c r="U388" s="402" t="e">
        <f t="shared" si="19"/>
        <v>#VALUE!</v>
      </c>
      <c r="V388" s="402" t="e">
        <f t="shared" si="20"/>
        <v>#VALUE!</v>
      </c>
      <c r="W388" s="402" t="e">
        <f t="shared" si="21"/>
        <v>#VALUE!</v>
      </c>
      <c r="X388" s="402" t="e">
        <f t="shared" si="22"/>
        <v>#VALUE!</v>
      </c>
      <c r="Y388" s="402" t="e">
        <f t="shared" si="23"/>
        <v>#VALUE!</v>
      </c>
      <c r="Z388" s="402" t="e">
        <f t="shared" si="24"/>
        <v>#VALUE!</v>
      </c>
      <c r="AA388" s="402" t="e">
        <f t="shared" si="25"/>
        <v>#VALUE!</v>
      </c>
      <c r="AB388" s="669" t="e">
        <f t="shared" si="26"/>
        <v>#VALUE!</v>
      </c>
      <c r="AC388" s="403"/>
    </row>
    <row r="389" spans="2:29" s="121" customFormat="1" outlineLevel="1">
      <c r="B389" s="1167"/>
      <c r="C389" s="1168"/>
      <c r="D389" s="1750" t="s">
        <v>290</v>
      </c>
      <c r="E389" s="1751"/>
      <c r="F389" s="1751"/>
      <c r="G389" s="1752"/>
      <c r="H389" s="835"/>
      <c r="I389" s="1327" t="e">
        <f t="shared" si="65"/>
        <v>#DIV/0!</v>
      </c>
      <c r="J389" s="736" t="s">
        <v>365</v>
      </c>
      <c r="K389" s="736" t="s">
        <v>365</v>
      </c>
      <c r="L389" s="1330" t="str">
        <f t="shared" si="66"/>
        <v>Non renseigné</v>
      </c>
      <c r="M389" s="736" t="str">
        <f t="shared" si="67"/>
        <v>-</v>
      </c>
      <c r="N389" s="822" t="e">
        <f t="shared" si="68"/>
        <v>#VALUE!</v>
      </c>
      <c r="O389" s="733" t="e">
        <f t="shared" si="69"/>
        <v>#VALUE!</v>
      </c>
      <c r="P389" s="822" t="e">
        <f t="shared" si="70"/>
        <v>#VALUE!</v>
      </c>
      <c r="Q389" s="823"/>
      <c r="R389" s="942"/>
      <c r="S389" s="402" t="e">
        <f t="shared" si="17"/>
        <v>#VALUE!</v>
      </c>
      <c r="T389" s="402" t="e">
        <f t="shared" si="18"/>
        <v>#VALUE!</v>
      </c>
      <c r="U389" s="402" t="e">
        <f t="shared" si="19"/>
        <v>#VALUE!</v>
      </c>
      <c r="V389" s="402" t="e">
        <f t="shared" si="20"/>
        <v>#VALUE!</v>
      </c>
      <c r="W389" s="402" t="e">
        <f t="shared" si="21"/>
        <v>#VALUE!</v>
      </c>
      <c r="X389" s="402" t="e">
        <f t="shared" si="22"/>
        <v>#VALUE!</v>
      </c>
      <c r="Y389" s="402" t="e">
        <f t="shared" si="23"/>
        <v>#VALUE!</v>
      </c>
      <c r="Z389" s="402" t="e">
        <f t="shared" si="24"/>
        <v>#VALUE!</v>
      </c>
      <c r="AA389" s="402" t="e">
        <f t="shared" si="25"/>
        <v>#VALUE!</v>
      </c>
      <c r="AB389" s="669" t="e">
        <f t="shared" si="26"/>
        <v>#VALUE!</v>
      </c>
      <c r="AC389" s="403"/>
    </row>
    <row r="390" spans="2:29" s="121" customFormat="1" outlineLevel="1">
      <c r="B390" s="1167"/>
      <c r="C390" s="1168"/>
      <c r="D390" s="1750" t="s">
        <v>290</v>
      </c>
      <c r="E390" s="1751"/>
      <c r="F390" s="1751"/>
      <c r="G390" s="1752"/>
      <c r="H390" s="835"/>
      <c r="I390" s="1327" t="e">
        <f t="shared" si="65"/>
        <v>#DIV/0!</v>
      </c>
      <c r="J390" s="736" t="s">
        <v>365</v>
      </c>
      <c r="K390" s="736" t="s">
        <v>365</v>
      </c>
      <c r="L390" s="1330" t="str">
        <f t="shared" si="66"/>
        <v>Non renseigné</v>
      </c>
      <c r="M390" s="736" t="str">
        <f t="shared" si="67"/>
        <v>-</v>
      </c>
      <c r="N390" s="822" t="e">
        <f t="shared" si="68"/>
        <v>#VALUE!</v>
      </c>
      <c r="O390" s="733" t="e">
        <f t="shared" si="69"/>
        <v>#VALUE!</v>
      </c>
      <c r="P390" s="822" t="e">
        <f t="shared" si="70"/>
        <v>#VALUE!</v>
      </c>
      <c r="Q390" s="823"/>
      <c r="R390" s="942"/>
      <c r="S390" s="402" t="e">
        <f t="shared" si="17"/>
        <v>#VALUE!</v>
      </c>
      <c r="T390" s="402" t="e">
        <f t="shared" si="18"/>
        <v>#VALUE!</v>
      </c>
      <c r="U390" s="402" t="e">
        <f t="shared" si="19"/>
        <v>#VALUE!</v>
      </c>
      <c r="V390" s="402" t="e">
        <f t="shared" si="20"/>
        <v>#VALUE!</v>
      </c>
      <c r="W390" s="402" t="e">
        <f t="shared" si="21"/>
        <v>#VALUE!</v>
      </c>
      <c r="X390" s="402" t="e">
        <f t="shared" si="22"/>
        <v>#VALUE!</v>
      </c>
      <c r="Y390" s="402" t="e">
        <f t="shared" si="23"/>
        <v>#VALUE!</v>
      </c>
      <c r="Z390" s="402" t="e">
        <f t="shared" si="24"/>
        <v>#VALUE!</v>
      </c>
      <c r="AA390" s="402" t="e">
        <f t="shared" si="25"/>
        <v>#VALUE!</v>
      </c>
      <c r="AB390" s="669" t="e">
        <f t="shared" si="26"/>
        <v>#VALUE!</v>
      </c>
      <c r="AC390" s="403"/>
    </row>
    <row r="391" spans="2:29" s="121" customFormat="1" outlineLevel="1">
      <c r="B391" s="1167"/>
      <c r="C391" s="1168"/>
      <c r="D391" s="1750" t="s">
        <v>290</v>
      </c>
      <c r="E391" s="1751"/>
      <c r="F391" s="1751"/>
      <c r="G391" s="1752"/>
      <c r="H391" s="835"/>
      <c r="I391" s="1327" t="e">
        <f t="shared" si="65"/>
        <v>#DIV/0!</v>
      </c>
      <c r="J391" s="736" t="s">
        <v>365</v>
      </c>
      <c r="K391" s="736" t="s">
        <v>365</v>
      </c>
      <c r="L391" s="1330" t="str">
        <f t="shared" si="66"/>
        <v>Non renseigné</v>
      </c>
      <c r="M391" s="736" t="str">
        <f t="shared" si="67"/>
        <v>-</v>
      </c>
      <c r="N391" s="822" t="e">
        <f t="shared" si="68"/>
        <v>#VALUE!</v>
      </c>
      <c r="O391" s="733" t="e">
        <f t="shared" si="69"/>
        <v>#VALUE!</v>
      </c>
      <c r="P391" s="822" t="e">
        <f t="shared" si="70"/>
        <v>#VALUE!</v>
      </c>
      <c r="Q391" s="823"/>
      <c r="R391" s="942"/>
      <c r="S391" s="402" t="e">
        <f t="shared" si="17"/>
        <v>#VALUE!</v>
      </c>
      <c r="T391" s="402" t="e">
        <f t="shared" si="18"/>
        <v>#VALUE!</v>
      </c>
      <c r="U391" s="402" t="e">
        <f t="shared" si="19"/>
        <v>#VALUE!</v>
      </c>
      <c r="V391" s="402" t="e">
        <f t="shared" si="20"/>
        <v>#VALUE!</v>
      </c>
      <c r="W391" s="402" t="e">
        <f t="shared" si="21"/>
        <v>#VALUE!</v>
      </c>
      <c r="X391" s="402" t="e">
        <f t="shared" si="22"/>
        <v>#VALUE!</v>
      </c>
      <c r="Y391" s="402" t="e">
        <f t="shared" si="23"/>
        <v>#VALUE!</v>
      </c>
      <c r="Z391" s="402" t="e">
        <f t="shared" si="24"/>
        <v>#VALUE!</v>
      </c>
      <c r="AA391" s="402" t="e">
        <f t="shared" si="25"/>
        <v>#VALUE!</v>
      </c>
      <c r="AB391" s="669" t="e">
        <f t="shared" si="26"/>
        <v>#VALUE!</v>
      </c>
      <c r="AC391" s="403"/>
    </row>
    <row r="392" spans="2:29" s="121" customFormat="1" outlineLevel="1">
      <c r="B392" s="1167"/>
      <c r="C392" s="1168"/>
      <c r="D392" s="1750" t="s">
        <v>290</v>
      </c>
      <c r="E392" s="1751"/>
      <c r="F392" s="1751"/>
      <c r="G392" s="1752"/>
      <c r="H392" s="835"/>
      <c r="I392" s="1327" t="e">
        <f t="shared" si="65"/>
        <v>#DIV/0!</v>
      </c>
      <c r="J392" s="736" t="s">
        <v>365</v>
      </c>
      <c r="K392" s="736" t="s">
        <v>365</v>
      </c>
      <c r="L392" s="1330" t="str">
        <f t="shared" si="66"/>
        <v>Non renseigné</v>
      </c>
      <c r="M392" s="736" t="str">
        <f t="shared" si="67"/>
        <v>-</v>
      </c>
      <c r="N392" s="822" t="e">
        <f t="shared" si="68"/>
        <v>#VALUE!</v>
      </c>
      <c r="O392" s="733" t="e">
        <f t="shared" si="69"/>
        <v>#VALUE!</v>
      </c>
      <c r="P392" s="822" t="e">
        <f t="shared" si="70"/>
        <v>#VALUE!</v>
      </c>
      <c r="Q392" s="823"/>
      <c r="R392" s="942"/>
      <c r="S392" s="402" t="e">
        <f t="shared" si="17"/>
        <v>#VALUE!</v>
      </c>
      <c r="T392" s="402" t="e">
        <f t="shared" si="18"/>
        <v>#VALUE!</v>
      </c>
      <c r="U392" s="402" t="e">
        <f t="shared" si="19"/>
        <v>#VALUE!</v>
      </c>
      <c r="V392" s="402" t="e">
        <f t="shared" si="20"/>
        <v>#VALUE!</v>
      </c>
      <c r="W392" s="402" t="e">
        <f t="shared" si="21"/>
        <v>#VALUE!</v>
      </c>
      <c r="X392" s="402" t="e">
        <f t="shared" si="22"/>
        <v>#VALUE!</v>
      </c>
      <c r="Y392" s="402" t="e">
        <f t="shared" si="23"/>
        <v>#VALUE!</v>
      </c>
      <c r="Z392" s="402" t="e">
        <f t="shared" si="24"/>
        <v>#VALUE!</v>
      </c>
      <c r="AA392" s="402" t="e">
        <f t="shared" si="25"/>
        <v>#VALUE!</v>
      </c>
      <c r="AB392" s="669" t="e">
        <f t="shared" si="26"/>
        <v>#VALUE!</v>
      </c>
      <c r="AC392" s="403"/>
    </row>
    <row r="393" spans="2:29" outlineLevel="1">
      <c r="B393" s="1167"/>
      <c r="C393" s="1168"/>
      <c r="D393" s="1750" t="s">
        <v>290</v>
      </c>
      <c r="E393" s="1751"/>
      <c r="F393" s="1751"/>
      <c r="G393" s="1752"/>
      <c r="H393" s="835"/>
      <c r="I393" s="1327" t="e">
        <f t="shared" si="65"/>
        <v>#DIV/0!</v>
      </c>
      <c r="J393" s="736" t="s">
        <v>365</v>
      </c>
      <c r="K393" s="736" t="s">
        <v>365</v>
      </c>
      <c r="L393" s="1330" t="str">
        <f t="shared" si="66"/>
        <v>Non renseigné</v>
      </c>
      <c r="M393" s="736" t="str">
        <f t="shared" si="67"/>
        <v>-</v>
      </c>
      <c r="N393" s="822" t="e">
        <f t="shared" si="68"/>
        <v>#VALUE!</v>
      </c>
      <c r="O393" s="733" t="e">
        <f t="shared" si="69"/>
        <v>#VALUE!</v>
      </c>
      <c r="P393" s="822" t="e">
        <f t="shared" si="70"/>
        <v>#VALUE!</v>
      </c>
      <c r="Q393" s="823"/>
      <c r="R393" s="942"/>
      <c r="S393" s="402" t="e">
        <f t="shared" si="17"/>
        <v>#VALUE!</v>
      </c>
      <c r="T393" s="402" t="e">
        <f t="shared" si="18"/>
        <v>#VALUE!</v>
      </c>
      <c r="U393" s="402" t="e">
        <f t="shared" si="19"/>
        <v>#VALUE!</v>
      </c>
      <c r="V393" s="402" t="e">
        <f t="shared" si="20"/>
        <v>#VALUE!</v>
      </c>
      <c r="W393" s="402" t="e">
        <f t="shared" si="21"/>
        <v>#VALUE!</v>
      </c>
      <c r="X393" s="402" t="e">
        <f t="shared" si="22"/>
        <v>#VALUE!</v>
      </c>
      <c r="Y393" s="402" t="e">
        <f t="shared" si="23"/>
        <v>#VALUE!</v>
      </c>
      <c r="Z393" s="402" t="e">
        <f t="shared" si="24"/>
        <v>#VALUE!</v>
      </c>
      <c r="AA393" s="402" t="e">
        <f t="shared" si="25"/>
        <v>#VALUE!</v>
      </c>
      <c r="AB393" s="669" t="e">
        <f t="shared" si="26"/>
        <v>#VALUE!</v>
      </c>
    </row>
    <row r="394" spans="2:29" s="121" customFormat="1" outlineLevel="1">
      <c r="B394" s="1167"/>
      <c r="C394" s="1168"/>
      <c r="D394" s="1750" t="s">
        <v>290</v>
      </c>
      <c r="E394" s="1751"/>
      <c r="F394" s="1751"/>
      <c r="G394" s="1752"/>
      <c r="H394" s="835"/>
      <c r="I394" s="1327" t="e">
        <f t="shared" si="65"/>
        <v>#DIV/0!</v>
      </c>
      <c r="J394" s="736" t="s">
        <v>365</v>
      </c>
      <c r="K394" s="736" t="s">
        <v>365</v>
      </c>
      <c r="L394" s="1330" t="str">
        <f t="shared" si="66"/>
        <v>Non renseigné</v>
      </c>
      <c r="M394" s="736" t="str">
        <f t="shared" si="67"/>
        <v>-</v>
      </c>
      <c r="N394" s="822" t="e">
        <f t="shared" si="68"/>
        <v>#VALUE!</v>
      </c>
      <c r="O394" s="733" t="e">
        <f t="shared" si="69"/>
        <v>#VALUE!</v>
      </c>
      <c r="P394" s="822" t="e">
        <f t="shared" si="70"/>
        <v>#VALUE!</v>
      </c>
      <c r="Q394" s="823"/>
      <c r="R394" s="942"/>
      <c r="S394" s="402" t="e">
        <f t="shared" si="17"/>
        <v>#VALUE!</v>
      </c>
      <c r="T394" s="402" t="e">
        <f t="shared" si="18"/>
        <v>#VALUE!</v>
      </c>
      <c r="U394" s="402" t="e">
        <f t="shared" si="19"/>
        <v>#VALUE!</v>
      </c>
      <c r="V394" s="402" t="e">
        <f t="shared" si="20"/>
        <v>#VALUE!</v>
      </c>
      <c r="W394" s="402" t="e">
        <f t="shared" si="21"/>
        <v>#VALUE!</v>
      </c>
      <c r="X394" s="402" t="e">
        <f t="shared" si="22"/>
        <v>#VALUE!</v>
      </c>
      <c r="Y394" s="402" t="e">
        <f t="shared" si="23"/>
        <v>#VALUE!</v>
      </c>
      <c r="Z394" s="402" t="e">
        <f t="shared" si="24"/>
        <v>#VALUE!</v>
      </c>
      <c r="AA394" s="402" t="e">
        <f t="shared" si="25"/>
        <v>#VALUE!</v>
      </c>
      <c r="AB394" s="669" t="e">
        <f t="shared" si="26"/>
        <v>#VALUE!</v>
      </c>
      <c r="AC394" s="403"/>
    </row>
    <row r="395" spans="2:29" s="121" customFormat="1" outlineLevel="1">
      <c r="B395" s="1167"/>
      <c r="C395" s="1168"/>
      <c r="D395" s="1750" t="s">
        <v>290</v>
      </c>
      <c r="E395" s="1751"/>
      <c r="F395" s="1751"/>
      <c r="G395" s="1752"/>
      <c r="H395" s="835"/>
      <c r="I395" s="1327" t="e">
        <f t="shared" si="65"/>
        <v>#DIV/0!</v>
      </c>
      <c r="J395" s="736" t="s">
        <v>365</v>
      </c>
      <c r="K395" s="736" t="s">
        <v>365</v>
      </c>
      <c r="L395" s="1330" t="str">
        <f t="shared" si="66"/>
        <v>Non renseigné</v>
      </c>
      <c r="M395" s="736" t="str">
        <f t="shared" si="67"/>
        <v>-</v>
      </c>
      <c r="N395" s="822" t="e">
        <f t="shared" si="68"/>
        <v>#VALUE!</v>
      </c>
      <c r="O395" s="733" t="e">
        <f t="shared" si="69"/>
        <v>#VALUE!</v>
      </c>
      <c r="P395" s="822" t="e">
        <f t="shared" si="70"/>
        <v>#VALUE!</v>
      </c>
      <c r="Q395" s="823"/>
      <c r="R395" s="942"/>
      <c r="S395" s="402" t="e">
        <f t="shared" si="17"/>
        <v>#VALUE!</v>
      </c>
      <c r="T395" s="402" t="e">
        <f t="shared" si="18"/>
        <v>#VALUE!</v>
      </c>
      <c r="U395" s="402" t="e">
        <f t="shared" si="19"/>
        <v>#VALUE!</v>
      </c>
      <c r="V395" s="402" t="e">
        <f t="shared" si="20"/>
        <v>#VALUE!</v>
      </c>
      <c r="W395" s="402" t="e">
        <f t="shared" si="21"/>
        <v>#VALUE!</v>
      </c>
      <c r="X395" s="402" t="e">
        <f t="shared" si="22"/>
        <v>#VALUE!</v>
      </c>
      <c r="Y395" s="402" t="e">
        <f t="shared" si="23"/>
        <v>#VALUE!</v>
      </c>
      <c r="Z395" s="402" t="e">
        <f t="shared" si="24"/>
        <v>#VALUE!</v>
      </c>
      <c r="AA395" s="402" t="e">
        <f t="shared" si="25"/>
        <v>#VALUE!</v>
      </c>
      <c r="AB395" s="669" t="e">
        <f t="shared" si="26"/>
        <v>#VALUE!</v>
      </c>
      <c r="AC395" s="403"/>
    </row>
    <row r="396" spans="2:29" s="121" customFormat="1" outlineLevel="1">
      <c r="B396" s="1167"/>
      <c r="C396" s="1168"/>
      <c r="D396" s="1750" t="s">
        <v>290</v>
      </c>
      <c r="E396" s="1751"/>
      <c r="F396" s="1751"/>
      <c r="G396" s="1752"/>
      <c r="H396" s="835"/>
      <c r="I396" s="1327" t="e">
        <f t="shared" si="65"/>
        <v>#DIV/0!</v>
      </c>
      <c r="J396" s="736" t="s">
        <v>365</v>
      </c>
      <c r="K396" s="736" t="s">
        <v>365</v>
      </c>
      <c r="L396" s="1330" t="str">
        <f t="shared" si="66"/>
        <v>Non renseigné</v>
      </c>
      <c r="M396" s="736" t="str">
        <f t="shared" si="67"/>
        <v>-</v>
      </c>
      <c r="N396" s="822" t="e">
        <f t="shared" si="68"/>
        <v>#VALUE!</v>
      </c>
      <c r="O396" s="733" t="e">
        <f t="shared" si="69"/>
        <v>#VALUE!</v>
      </c>
      <c r="P396" s="822" t="e">
        <f t="shared" si="70"/>
        <v>#VALUE!</v>
      </c>
      <c r="Q396" s="823"/>
      <c r="R396" s="942"/>
      <c r="S396" s="402" t="e">
        <f t="shared" si="17"/>
        <v>#VALUE!</v>
      </c>
      <c r="T396" s="402" t="e">
        <f t="shared" si="18"/>
        <v>#VALUE!</v>
      </c>
      <c r="U396" s="402" t="e">
        <f t="shared" si="19"/>
        <v>#VALUE!</v>
      </c>
      <c r="V396" s="402" t="e">
        <f t="shared" si="20"/>
        <v>#VALUE!</v>
      </c>
      <c r="W396" s="402" t="e">
        <f t="shared" si="21"/>
        <v>#VALUE!</v>
      </c>
      <c r="X396" s="402" t="e">
        <f t="shared" si="22"/>
        <v>#VALUE!</v>
      </c>
      <c r="Y396" s="402" t="e">
        <f t="shared" si="23"/>
        <v>#VALUE!</v>
      </c>
      <c r="Z396" s="402" t="e">
        <f t="shared" si="24"/>
        <v>#VALUE!</v>
      </c>
      <c r="AA396" s="402" t="e">
        <f t="shared" si="25"/>
        <v>#VALUE!</v>
      </c>
      <c r="AB396" s="669" t="e">
        <f t="shared" si="26"/>
        <v>#VALUE!</v>
      </c>
      <c r="AC396" s="403"/>
    </row>
    <row r="397" spans="2:29" s="121" customFormat="1" outlineLevel="1">
      <c r="B397" s="1167"/>
      <c r="C397" s="1168"/>
      <c r="D397" s="1750" t="s">
        <v>290</v>
      </c>
      <c r="E397" s="1751"/>
      <c r="F397" s="1751"/>
      <c r="G397" s="1752"/>
      <c r="H397" s="835"/>
      <c r="I397" s="1327" t="e">
        <f t="shared" si="0"/>
        <v>#DIV/0!</v>
      </c>
      <c r="J397" s="736" t="s">
        <v>365</v>
      </c>
      <c r="K397" s="736" t="s">
        <v>365</v>
      </c>
      <c r="L397" s="1330" t="str">
        <f t="shared" si="16"/>
        <v>Non renseigné</v>
      </c>
      <c r="M397" s="736" t="str">
        <f t="shared" si="12"/>
        <v>-</v>
      </c>
      <c r="N397" s="822" t="e">
        <f t="shared" si="13"/>
        <v>#VALUE!</v>
      </c>
      <c r="O397" s="733" t="e">
        <f t="shared" si="27"/>
        <v>#VALUE!</v>
      </c>
      <c r="P397" s="822" t="e">
        <f t="shared" si="28"/>
        <v>#VALUE!</v>
      </c>
      <c r="Q397" s="823"/>
      <c r="R397" s="942"/>
      <c r="S397" s="402" t="e">
        <f t="shared" si="17"/>
        <v>#VALUE!</v>
      </c>
      <c r="T397" s="402" t="e">
        <f t="shared" si="18"/>
        <v>#VALUE!</v>
      </c>
      <c r="U397" s="402" t="e">
        <f t="shared" si="19"/>
        <v>#VALUE!</v>
      </c>
      <c r="V397" s="402" t="e">
        <f t="shared" si="20"/>
        <v>#VALUE!</v>
      </c>
      <c r="W397" s="402" t="e">
        <f t="shared" si="21"/>
        <v>#VALUE!</v>
      </c>
      <c r="X397" s="402" t="e">
        <f t="shared" si="22"/>
        <v>#VALUE!</v>
      </c>
      <c r="Y397" s="402" t="e">
        <f t="shared" si="23"/>
        <v>#VALUE!</v>
      </c>
      <c r="Z397" s="402" t="e">
        <f t="shared" si="24"/>
        <v>#VALUE!</v>
      </c>
      <c r="AA397" s="402" t="e">
        <f t="shared" si="25"/>
        <v>#VALUE!</v>
      </c>
      <c r="AB397" s="669" t="e">
        <f t="shared" si="26"/>
        <v>#VALUE!</v>
      </c>
      <c r="AC397" s="403"/>
    </row>
    <row r="398" spans="2:29" s="121" customFormat="1" outlineLevel="1">
      <c r="B398" s="1167"/>
      <c r="C398" s="1168"/>
      <c r="D398" s="1750" t="s">
        <v>290</v>
      </c>
      <c r="E398" s="1751"/>
      <c r="F398" s="1751"/>
      <c r="G398" s="1752"/>
      <c r="H398" s="835"/>
      <c r="I398" s="1327" t="e">
        <f t="shared" si="0"/>
        <v>#DIV/0!</v>
      </c>
      <c r="J398" s="736" t="s">
        <v>365</v>
      </c>
      <c r="K398" s="736" t="s">
        <v>365</v>
      </c>
      <c r="L398" s="1330" t="str">
        <f t="shared" si="16"/>
        <v>Non renseigné</v>
      </c>
      <c r="M398" s="736" t="str">
        <f t="shared" si="12"/>
        <v>-</v>
      </c>
      <c r="N398" s="822" t="e">
        <f t="shared" si="13"/>
        <v>#VALUE!</v>
      </c>
      <c r="O398" s="733" t="e">
        <f t="shared" si="27"/>
        <v>#VALUE!</v>
      </c>
      <c r="P398" s="822" t="e">
        <f t="shared" si="28"/>
        <v>#VALUE!</v>
      </c>
      <c r="Q398" s="823"/>
      <c r="R398" s="942"/>
      <c r="S398" s="402" t="e">
        <f t="shared" si="17"/>
        <v>#VALUE!</v>
      </c>
      <c r="T398" s="402" t="e">
        <f t="shared" si="18"/>
        <v>#VALUE!</v>
      </c>
      <c r="U398" s="402" t="e">
        <f t="shared" si="19"/>
        <v>#VALUE!</v>
      </c>
      <c r="V398" s="402" t="e">
        <f t="shared" si="20"/>
        <v>#VALUE!</v>
      </c>
      <c r="W398" s="402" t="e">
        <f t="shared" si="21"/>
        <v>#VALUE!</v>
      </c>
      <c r="X398" s="402" t="e">
        <f t="shared" si="22"/>
        <v>#VALUE!</v>
      </c>
      <c r="Y398" s="402" t="e">
        <f t="shared" si="23"/>
        <v>#VALUE!</v>
      </c>
      <c r="Z398" s="402" t="e">
        <f t="shared" si="24"/>
        <v>#VALUE!</v>
      </c>
      <c r="AA398" s="402" t="e">
        <f t="shared" si="25"/>
        <v>#VALUE!</v>
      </c>
      <c r="AB398" s="669" t="e">
        <f t="shared" si="26"/>
        <v>#VALUE!</v>
      </c>
      <c r="AC398" s="403"/>
    </row>
    <row r="399" spans="2:29" s="121" customFormat="1" outlineLevel="1">
      <c r="B399" s="1167"/>
      <c r="C399" s="1168"/>
      <c r="D399" s="1750" t="s">
        <v>290</v>
      </c>
      <c r="E399" s="1751"/>
      <c r="F399" s="1751"/>
      <c r="G399" s="1752"/>
      <c r="H399" s="835"/>
      <c r="I399" s="1327" t="e">
        <f t="shared" si="0"/>
        <v>#DIV/0!</v>
      </c>
      <c r="J399" s="736" t="s">
        <v>365</v>
      </c>
      <c r="K399" s="736" t="s">
        <v>365</v>
      </c>
      <c r="L399" s="1330" t="str">
        <f t="shared" si="16"/>
        <v>Non renseigné</v>
      </c>
      <c r="M399" s="736" t="str">
        <f t="shared" si="12"/>
        <v>-</v>
      </c>
      <c r="N399" s="822" t="e">
        <f t="shared" si="13"/>
        <v>#VALUE!</v>
      </c>
      <c r="O399" s="733" t="e">
        <f t="shared" si="27"/>
        <v>#VALUE!</v>
      </c>
      <c r="P399" s="822" t="e">
        <f t="shared" si="28"/>
        <v>#VALUE!</v>
      </c>
      <c r="Q399" s="823"/>
      <c r="R399" s="942"/>
      <c r="S399" s="402" t="e">
        <f t="shared" si="17"/>
        <v>#VALUE!</v>
      </c>
      <c r="T399" s="402" t="e">
        <f t="shared" si="18"/>
        <v>#VALUE!</v>
      </c>
      <c r="U399" s="402" t="e">
        <f t="shared" si="19"/>
        <v>#VALUE!</v>
      </c>
      <c r="V399" s="402" t="e">
        <f t="shared" si="20"/>
        <v>#VALUE!</v>
      </c>
      <c r="W399" s="402" t="e">
        <f t="shared" si="21"/>
        <v>#VALUE!</v>
      </c>
      <c r="X399" s="402" t="e">
        <f t="shared" si="22"/>
        <v>#VALUE!</v>
      </c>
      <c r="Y399" s="402" t="e">
        <f t="shared" si="23"/>
        <v>#VALUE!</v>
      </c>
      <c r="Z399" s="402" t="e">
        <f t="shared" si="24"/>
        <v>#VALUE!</v>
      </c>
      <c r="AA399" s="402" t="e">
        <f t="shared" si="25"/>
        <v>#VALUE!</v>
      </c>
      <c r="AB399" s="669" t="e">
        <f t="shared" si="26"/>
        <v>#VALUE!</v>
      </c>
      <c r="AC399" s="403"/>
    </row>
    <row r="400" spans="2:29" s="121" customFormat="1" outlineLevel="1">
      <c r="B400" s="1167"/>
      <c r="C400" s="1168"/>
      <c r="D400" s="1750" t="s">
        <v>290</v>
      </c>
      <c r="E400" s="1751"/>
      <c r="F400" s="1751"/>
      <c r="G400" s="1752"/>
      <c r="H400" s="835"/>
      <c r="I400" s="1327" t="e">
        <f t="shared" si="0"/>
        <v>#DIV/0!</v>
      </c>
      <c r="J400" s="736" t="s">
        <v>365</v>
      </c>
      <c r="K400" s="736" t="s">
        <v>365</v>
      </c>
      <c r="L400" s="1330" t="str">
        <f t="shared" si="16"/>
        <v>Non renseigné</v>
      </c>
      <c r="M400" s="736" t="str">
        <f t="shared" si="12"/>
        <v>-</v>
      </c>
      <c r="N400" s="822" t="e">
        <f t="shared" si="13"/>
        <v>#VALUE!</v>
      </c>
      <c r="O400" s="733" t="e">
        <f t="shared" si="27"/>
        <v>#VALUE!</v>
      </c>
      <c r="P400" s="822" t="e">
        <f t="shared" si="28"/>
        <v>#VALUE!</v>
      </c>
      <c r="Q400" s="823"/>
      <c r="R400" s="942"/>
      <c r="S400" s="402" t="e">
        <f t="shared" si="17"/>
        <v>#VALUE!</v>
      </c>
      <c r="T400" s="402" t="e">
        <f t="shared" si="18"/>
        <v>#VALUE!</v>
      </c>
      <c r="U400" s="402" t="e">
        <f t="shared" si="19"/>
        <v>#VALUE!</v>
      </c>
      <c r="V400" s="402" t="e">
        <f t="shared" si="20"/>
        <v>#VALUE!</v>
      </c>
      <c r="W400" s="402" t="e">
        <f t="shared" si="21"/>
        <v>#VALUE!</v>
      </c>
      <c r="X400" s="402" t="e">
        <f t="shared" si="22"/>
        <v>#VALUE!</v>
      </c>
      <c r="Y400" s="402" t="e">
        <f t="shared" si="23"/>
        <v>#VALUE!</v>
      </c>
      <c r="Z400" s="402" t="e">
        <f t="shared" si="24"/>
        <v>#VALUE!</v>
      </c>
      <c r="AA400" s="402" t="e">
        <f t="shared" si="25"/>
        <v>#VALUE!</v>
      </c>
      <c r="AB400" s="669" t="e">
        <f t="shared" si="26"/>
        <v>#VALUE!</v>
      </c>
      <c r="AC400" s="403"/>
    </row>
    <row r="401" spans="2:29" s="121" customFormat="1" outlineLevel="1">
      <c r="B401" s="1167"/>
      <c r="C401" s="1168"/>
      <c r="D401" s="1750" t="s">
        <v>290</v>
      </c>
      <c r="E401" s="1751"/>
      <c r="F401" s="1751"/>
      <c r="G401" s="1752"/>
      <c r="H401" s="835"/>
      <c r="I401" s="1327" t="e">
        <f t="shared" si="0"/>
        <v>#DIV/0!</v>
      </c>
      <c r="J401" s="736" t="s">
        <v>365</v>
      </c>
      <c r="K401" s="736" t="s">
        <v>365</v>
      </c>
      <c r="L401" s="1330" t="str">
        <f t="shared" si="16"/>
        <v>Non renseigné</v>
      </c>
      <c r="M401" s="736" t="str">
        <f t="shared" si="12"/>
        <v>-</v>
      </c>
      <c r="N401" s="822" t="e">
        <f t="shared" si="13"/>
        <v>#VALUE!</v>
      </c>
      <c r="O401" s="733" t="e">
        <f t="shared" si="27"/>
        <v>#VALUE!</v>
      </c>
      <c r="P401" s="822" t="e">
        <f t="shared" si="28"/>
        <v>#VALUE!</v>
      </c>
      <c r="Q401" s="823"/>
      <c r="R401" s="942"/>
      <c r="S401" s="402" t="e">
        <f t="shared" si="17"/>
        <v>#VALUE!</v>
      </c>
      <c r="T401" s="402" t="e">
        <f t="shared" si="18"/>
        <v>#VALUE!</v>
      </c>
      <c r="U401" s="402" t="e">
        <f t="shared" si="19"/>
        <v>#VALUE!</v>
      </c>
      <c r="V401" s="402" t="e">
        <f t="shared" si="20"/>
        <v>#VALUE!</v>
      </c>
      <c r="W401" s="402" t="e">
        <f t="shared" si="21"/>
        <v>#VALUE!</v>
      </c>
      <c r="X401" s="402" t="e">
        <f t="shared" si="22"/>
        <v>#VALUE!</v>
      </c>
      <c r="Y401" s="402" t="e">
        <f t="shared" si="23"/>
        <v>#VALUE!</v>
      </c>
      <c r="Z401" s="402" t="e">
        <f t="shared" si="24"/>
        <v>#VALUE!</v>
      </c>
      <c r="AA401" s="402" t="e">
        <f t="shared" si="25"/>
        <v>#VALUE!</v>
      </c>
      <c r="AB401" s="669" t="e">
        <f t="shared" si="26"/>
        <v>#VALUE!</v>
      </c>
      <c r="AC401" s="403"/>
    </row>
    <row r="402" spans="2:29" s="121" customFormat="1" outlineLevel="1">
      <c r="B402" s="1167"/>
      <c r="C402" s="1168"/>
      <c r="D402" s="1750" t="s">
        <v>290</v>
      </c>
      <c r="E402" s="1751"/>
      <c r="F402" s="1751"/>
      <c r="G402" s="1752"/>
      <c r="H402" s="835"/>
      <c r="I402" s="1327" t="e">
        <f t="shared" si="0"/>
        <v>#DIV/0!</v>
      </c>
      <c r="J402" s="736" t="s">
        <v>365</v>
      </c>
      <c r="K402" s="736" t="s">
        <v>365</v>
      </c>
      <c r="L402" s="1330" t="str">
        <f t="shared" ref="L402:L500" si="71">IF(D402="Bâtiments avec mise en service N+1",J402+1,J402)</f>
        <v>Non renseigné</v>
      </c>
      <c r="M402" s="736" t="str">
        <f t="shared" si="12"/>
        <v>-</v>
      </c>
      <c r="N402" s="822" t="e">
        <f t="shared" si="13"/>
        <v>#VALUE!</v>
      </c>
      <c r="O402" s="733" t="e">
        <f t="shared" si="27"/>
        <v>#VALUE!</v>
      </c>
      <c r="P402" s="822" t="e">
        <f t="shared" si="28"/>
        <v>#VALUE!</v>
      </c>
      <c r="Q402" s="823"/>
      <c r="R402" s="942"/>
      <c r="S402" s="402" t="e">
        <f t="shared" ref="S402:S500" si="72">IF($D402="Bâtiments avec mise en service N+1",IF($S$15=$L402,$N402,IF(AND($S$15&gt;$L402,$S$15&lt;$L402+$Q402),$I402,IF($S$15&lt;$L402,"",IF($S$15&gt;$L402+$Q402,"",$P402)))),IF($S$15=$J402,$N402,IF(AND($S$15&gt;$J402,$S$15&lt;$J402+$Q402),$I402,IF($S$15&lt;$J402,"",IF($S$15&gt;$L402+$Q402,"",$P402)))))</f>
        <v>#VALUE!</v>
      </c>
      <c r="T402" s="402" t="e">
        <f t="shared" ref="T402:T500" si="73">IF($D402="Bâtiments avec mise en service N+1",IF($T$15=$L402,$N402,IF(AND($T$15&gt;$L402,$T$15&lt;$L402+$Q402),$I402,IF($T$15&lt;$L402,"",IF($T$15&gt;$L402+$Q402,"",$P402)))),IF($T$15=$J402,$N402,IF(AND($T$15&gt;$J402,$T$15&lt;$J402+$Q402),$I402,IF($T$15&lt;$J402,"",IF($T$15&gt;$L402+$Q402,"",$P402)))))</f>
        <v>#VALUE!</v>
      </c>
      <c r="U402" s="402" t="e">
        <f t="shared" ref="U402:U500" si="74">IF($D402="Bâtiments avec mise en service N+1",IF($U$15=$L402,$N402,IF(AND($U$15&gt;$L402,$U$15&lt;$L402+$Q402),$I402,IF($U$15&lt;$L402,"",IF($U$15&gt;$L402+$Q402,"",$P402)))),IF($U$15=$J402,$N402,IF(AND($U$15&gt;$J402,$U$15&lt;$J402+$Q402),$I402,IF($U$15&lt;$J402,"",IF($U$15&gt;$L402+$Q402,"",$P402)))))</f>
        <v>#VALUE!</v>
      </c>
      <c r="V402" s="402" t="e">
        <f t="shared" ref="V402:V500" si="75">IF($D402="Bâtiments avec mise en service N+1",IF($V$15=$L402,$N402,IF(AND($V$15&gt;$L402,$V$15&lt;$L402+$Q402),$I402,IF($V$15&lt;$L402,"",IF($V$15&gt;$L402+$Q402,"",$P402)))),IF($V$15=$J402,$N402,IF(AND($V$15&gt;$J402,$V$15&lt;$J402+$Q402),$I402,IF($V$15&lt;$J402,"",IF($V$15&gt;$L402+$Q402,"",$P402)))))</f>
        <v>#VALUE!</v>
      </c>
      <c r="W402" s="402" t="e">
        <f t="shared" ref="W402:W500" si="76">IF($D402="Bâtiments avec mise en service N+1",IF($W$15=$L402,$N402,IF(AND($W$15&gt;$L402,$W$15&lt;$L402+$Q402),$I402,IF($W$15&lt;$L402,"",IF($W$15&gt;$L402+$Q402,"",$P402)))),IF($W$15=$J402,$N402,IF(AND($W$15&gt;$J402,$W$15&lt;$J402+$Q402),$I402,IF($W$15&lt;$J402,"",IF($W$15&gt;$L402+$Q402,"",$P402)))))</f>
        <v>#VALUE!</v>
      </c>
      <c r="X402" s="402" t="e">
        <f t="shared" ref="X402:X500" si="77">IF($D402="Bâtiments avec mise en service N+1",IF($X$15=$L402,$N402,IF(AND($X$15&gt;$L402,$X$15&lt;$L402+$Q402),$I402,IF($X$15&lt;$L402,"",IF($X$15&gt;$L402+$Q402,"",$P402)))),IF($X$15=$J402,$N402,IF(AND($X$15&gt;$J402,$X$15&lt;$J402+$Q402),$I402,IF($X$15&lt;$J402,"",IF($X$15&gt;$L402+$Q402,"",$P402)))))</f>
        <v>#VALUE!</v>
      </c>
      <c r="Y402" s="402" t="e">
        <f t="shared" ref="Y402:Y500" si="78">IF($D402="Bâtiments avec mise en service N+1",IF($Y$15=$L402,$N402,IF(AND($Y$15&gt;$L402,$Y$15&lt;$L402+$Q402),$I402,IF($Y$15&lt;$L402,"",IF($Y$15&gt;$L402+$Q402,"",$P402)))),IF($Y$15=$J402,$N402,IF(AND($Y$15&gt;$J402,$Y$15&lt;$J402+$Q402),$I402,IF($Y$15&lt;$J402,"",IF($Y$15&gt;$L402+$Q402,"",$P402)))))</f>
        <v>#VALUE!</v>
      </c>
      <c r="Z402" s="402" t="e">
        <f t="shared" ref="Z402:Z500" si="79">IF($D402="Bâtiments avec mise en service N+1",IF($Z$15=$L402,$N402,IF(AND($Z$15&gt;$L402,$Z$15&lt;$L402+$Q402),$I402,IF($Z$15&lt;$L402,"",IF($Z$15&gt;$L402+$Q402,"",$P402)))),IF($Z$15=$J402,$N402,IF(AND($Z$15&gt;$J402,$Z$15&lt;$J402+$Q402),$I402,IF($Z$15&lt;$J402,"",IF($Z$15&gt;$L402+$Q402,"",$P402)))))</f>
        <v>#VALUE!</v>
      </c>
      <c r="AA402" s="402" t="e">
        <f t="shared" ref="AA402:AA500" si="80">IF($D402="Bâtiments avec mise en service N+1",IF($AA$15=$L402,$N402,IF(AND($AA$15&gt;$L402,$AA$15&lt;$L402+$Q402),$I402,IF($AA$15&lt;$L402,"",IF($AA$15&gt;$L402+$Q402,"",$P402)))),IF($AA$15=$J402,$N402,IF(AND($AA$15&gt;$J402,$AA$15&lt;$J402+$Q402),$I402,IF($AA$15&lt;$J402,"",IF($AA$15&gt;$L402+$Q402,"",$P402)))))</f>
        <v>#VALUE!</v>
      </c>
      <c r="AB402" s="669" t="e">
        <f t="shared" ref="AB402:AB500" si="81">IF($D402="Bâtiments avec mise en service N+1",IF($AB$15=$L402,$N402,IF(AND($AB$15&gt;$L402,$AB$15&lt;$L402+$Q402),$I402,IF($AB$15&lt;$L402,"",IF($AB$15&gt;$L402+$Q402,"",$P402)))),IF($AB$15=$J402,$N402,IF(AND($AB$15&gt;$J402,$AB$15&lt;$J402+$Q402),$I402,IF($AB$15&lt;$J402,"",IF($AB$15&gt;$L402+$Q402,"",$P402)))))</f>
        <v>#VALUE!</v>
      </c>
      <c r="AC402" s="403"/>
    </row>
    <row r="403" spans="2:29" s="121" customFormat="1" outlineLevel="1">
      <c r="B403" s="1167"/>
      <c r="C403" s="1168"/>
      <c r="D403" s="1750" t="s">
        <v>290</v>
      </c>
      <c r="E403" s="1751"/>
      <c r="F403" s="1751"/>
      <c r="G403" s="1752"/>
      <c r="H403" s="835"/>
      <c r="I403" s="1327" t="e">
        <f t="shared" si="0"/>
        <v>#DIV/0!</v>
      </c>
      <c r="J403" s="736" t="s">
        <v>365</v>
      </c>
      <c r="K403" s="736" t="s">
        <v>365</v>
      </c>
      <c r="L403" s="1330" t="str">
        <f t="shared" si="71"/>
        <v>Non renseigné</v>
      </c>
      <c r="M403" s="736" t="str">
        <f t="shared" si="12"/>
        <v>-</v>
      </c>
      <c r="N403" s="822" t="e">
        <f t="shared" si="13"/>
        <v>#VALUE!</v>
      </c>
      <c r="O403" s="733" t="e">
        <f t="shared" si="27"/>
        <v>#VALUE!</v>
      </c>
      <c r="P403" s="822" t="e">
        <f t="shared" si="28"/>
        <v>#VALUE!</v>
      </c>
      <c r="Q403" s="823"/>
      <c r="R403" s="942"/>
      <c r="S403" s="402" t="e">
        <f t="shared" si="72"/>
        <v>#VALUE!</v>
      </c>
      <c r="T403" s="402" t="e">
        <f t="shared" si="73"/>
        <v>#VALUE!</v>
      </c>
      <c r="U403" s="402" t="e">
        <f t="shared" si="74"/>
        <v>#VALUE!</v>
      </c>
      <c r="V403" s="402" t="e">
        <f t="shared" si="75"/>
        <v>#VALUE!</v>
      </c>
      <c r="W403" s="402" t="e">
        <f t="shared" si="76"/>
        <v>#VALUE!</v>
      </c>
      <c r="X403" s="402" t="e">
        <f t="shared" si="77"/>
        <v>#VALUE!</v>
      </c>
      <c r="Y403" s="402" t="e">
        <f t="shared" si="78"/>
        <v>#VALUE!</v>
      </c>
      <c r="Z403" s="402" t="e">
        <f t="shared" si="79"/>
        <v>#VALUE!</v>
      </c>
      <c r="AA403" s="402" t="e">
        <f t="shared" si="80"/>
        <v>#VALUE!</v>
      </c>
      <c r="AB403" s="669" t="e">
        <f t="shared" si="81"/>
        <v>#VALUE!</v>
      </c>
      <c r="AC403" s="403"/>
    </row>
    <row r="404" spans="2:29" s="121" customFormat="1" outlineLevel="1">
      <c r="B404" s="1167"/>
      <c r="C404" s="1168"/>
      <c r="D404" s="1750" t="s">
        <v>290</v>
      </c>
      <c r="E404" s="1751"/>
      <c r="F404" s="1751"/>
      <c r="G404" s="1752"/>
      <c r="H404" s="835"/>
      <c r="I404" s="1327" t="e">
        <f t="shared" si="0"/>
        <v>#DIV/0!</v>
      </c>
      <c r="J404" s="736" t="s">
        <v>365</v>
      </c>
      <c r="K404" s="736" t="s">
        <v>365</v>
      </c>
      <c r="L404" s="1330" t="str">
        <f t="shared" si="71"/>
        <v>Non renseigné</v>
      </c>
      <c r="M404" s="736" t="str">
        <f t="shared" si="12"/>
        <v>-</v>
      </c>
      <c r="N404" s="822" t="e">
        <f t="shared" si="13"/>
        <v>#VALUE!</v>
      </c>
      <c r="O404" s="733" t="e">
        <f t="shared" si="27"/>
        <v>#VALUE!</v>
      </c>
      <c r="P404" s="822" t="e">
        <f t="shared" si="28"/>
        <v>#VALUE!</v>
      </c>
      <c r="Q404" s="823"/>
      <c r="R404" s="942"/>
      <c r="S404" s="402" t="e">
        <f t="shared" si="72"/>
        <v>#VALUE!</v>
      </c>
      <c r="T404" s="402" t="e">
        <f t="shared" si="73"/>
        <v>#VALUE!</v>
      </c>
      <c r="U404" s="402" t="e">
        <f t="shared" si="74"/>
        <v>#VALUE!</v>
      </c>
      <c r="V404" s="402" t="e">
        <f t="shared" si="75"/>
        <v>#VALUE!</v>
      </c>
      <c r="W404" s="402" t="e">
        <f t="shared" si="76"/>
        <v>#VALUE!</v>
      </c>
      <c r="X404" s="402" t="e">
        <f t="shared" si="77"/>
        <v>#VALUE!</v>
      </c>
      <c r="Y404" s="402" t="e">
        <f t="shared" si="78"/>
        <v>#VALUE!</v>
      </c>
      <c r="Z404" s="402" t="e">
        <f t="shared" si="79"/>
        <v>#VALUE!</v>
      </c>
      <c r="AA404" s="402" t="e">
        <f t="shared" si="80"/>
        <v>#VALUE!</v>
      </c>
      <c r="AB404" s="669" t="e">
        <f t="shared" si="81"/>
        <v>#VALUE!</v>
      </c>
      <c r="AC404" s="403"/>
    </row>
    <row r="405" spans="2:29" s="121" customFormat="1" outlineLevel="1">
      <c r="B405" s="1167"/>
      <c r="C405" s="1168"/>
      <c r="D405" s="1750" t="s">
        <v>290</v>
      </c>
      <c r="E405" s="1751"/>
      <c r="F405" s="1751"/>
      <c r="G405" s="1752"/>
      <c r="H405" s="835"/>
      <c r="I405" s="1327" t="e">
        <f t="shared" si="0"/>
        <v>#DIV/0!</v>
      </c>
      <c r="J405" s="736" t="s">
        <v>365</v>
      </c>
      <c r="K405" s="736" t="s">
        <v>365</v>
      </c>
      <c r="L405" s="1330" t="str">
        <f t="shared" si="71"/>
        <v>Non renseigné</v>
      </c>
      <c r="M405" s="736" t="str">
        <f t="shared" si="12"/>
        <v>-</v>
      </c>
      <c r="N405" s="822" t="e">
        <f t="shared" si="13"/>
        <v>#VALUE!</v>
      </c>
      <c r="O405" s="733" t="e">
        <f t="shared" si="27"/>
        <v>#VALUE!</v>
      </c>
      <c r="P405" s="822" t="e">
        <f t="shared" si="28"/>
        <v>#VALUE!</v>
      </c>
      <c r="Q405" s="823"/>
      <c r="R405" s="942"/>
      <c r="S405" s="402" t="e">
        <f t="shared" si="72"/>
        <v>#VALUE!</v>
      </c>
      <c r="T405" s="402" t="e">
        <f t="shared" si="73"/>
        <v>#VALUE!</v>
      </c>
      <c r="U405" s="402" t="e">
        <f t="shared" si="74"/>
        <v>#VALUE!</v>
      </c>
      <c r="V405" s="402" t="e">
        <f t="shared" si="75"/>
        <v>#VALUE!</v>
      </c>
      <c r="W405" s="402" t="e">
        <f t="shared" si="76"/>
        <v>#VALUE!</v>
      </c>
      <c r="X405" s="402" t="e">
        <f t="shared" si="77"/>
        <v>#VALUE!</v>
      </c>
      <c r="Y405" s="402" t="e">
        <f t="shared" si="78"/>
        <v>#VALUE!</v>
      </c>
      <c r="Z405" s="402" t="e">
        <f t="shared" si="79"/>
        <v>#VALUE!</v>
      </c>
      <c r="AA405" s="402" t="e">
        <f t="shared" si="80"/>
        <v>#VALUE!</v>
      </c>
      <c r="AB405" s="669" t="e">
        <f t="shared" si="81"/>
        <v>#VALUE!</v>
      </c>
      <c r="AC405" s="403"/>
    </row>
    <row r="406" spans="2:29" s="121" customFormat="1" outlineLevel="1">
      <c r="B406" s="1167"/>
      <c r="C406" s="1168"/>
      <c r="D406" s="1750" t="s">
        <v>290</v>
      </c>
      <c r="E406" s="1751"/>
      <c r="F406" s="1751"/>
      <c r="G406" s="1752"/>
      <c r="H406" s="835"/>
      <c r="I406" s="1327" t="e">
        <f t="shared" si="0"/>
        <v>#DIV/0!</v>
      </c>
      <c r="J406" s="736" t="s">
        <v>365</v>
      </c>
      <c r="K406" s="736" t="s">
        <v>365</v>
      </c>
      <c r="L406" s="1330" t="str">
        <f t="shared" si="71"/>
        <v>Non renseigné</v>
      </c>
      <c r="M406" s="736" t="str">
        <f t="shared" si="12"/>
        <v>-</v>
      </c>
      <c r="N406" s="822" t="e">
        <f t="shared" si="13"/>
        <v>#VALUE!</v>
      </c>
      <c r="O406" s="733" t="e">
        <f t="shared" si="27"/>
        <v>#VALUE!</v>
      </c>
      <c r="P406" s="822" t="e">
        <f t="shared" si="28"/>
        <v>#VALUE!</v>
      </c>
      <c r="Q406" s="823"/>
      <c r="R406" s="942"/>
      <c r="S406" s="402" t="e">
        <f t="shared" si="72"/>
        <v>#VALUE!</v>
      </c>
      <c r="T406" s="402" t="e">
        <f t="shared" si="73"/>
        <v>#VALUE!</v>
      </c>
      <c r="U406" s="402" t="e">
        <f t="shared" si="74"/>
        <v>#VALUE!</v>
      </c>
      <c r="V406" s="402" t="e">
        <f t="shared" si="75"/>
        <v>#VALUE!</v>
      </c>
      <c r="W406" s="402" t="e">
        <f t="shared" si="76"/>
        <v>#VALUE!</v>
      </c>
      <c r="X406" s="402" t="e">
        <f t="shared" si="77"/>
        <v>#VALUE!</v>
      </c>
      <c r="Y406" s="402" t="e">
        <f t="shared" si="78"/>
        <v>#VALUE!</v>
      </c>
      <c r="Z406" s="402" t="e">
        <f t="shared" si="79"/>
        <v>#VALUE!</v>
      </c>
      <c r="AA406" s="402" t="e">
        <f t="shared" si="80"/>
        <v>#VALUE!</v>
      </c>
      <c r="AB406" s="669" t="e">
        <f t="shared" si="81"/>
        <v>#VALUE!</v>
      </c>
      <c r="AC406" s="403"/>
    </row>
    <row r="407" spans="2:29" s="121" customFormat="1" outlineLevel="1">
      <c r="B407" s="1167"/>
      <c r="C407" s="1168"/>
      <c r="D407" s="1750" t="s">
        <v>290</v>
      </c>
      <c r="E407" s="1751"/>
      <c r="F407" s="1751"/>
      <c r="G407" s="1752"/>
      <c r="H407" s="835"/>
      <c r="I407" s="1327" t="e">
        <f t="shared" si="0"/>
        <v>#DIV/0!</v>
      </c>
      <c r="J407" s="736" t="s">
        <v>365</v>
      </c>
      <c r="K407" s="736" t="s">
        <v>365</v>
      </c>
      <c r="L407" s="1330" t="str">
        <f t="shared" si="71"/>
        <v>Non renseigné</v>
      </c>
      <c r="M407" s="736" t="str">
        <f t="shared" si="12"/>
        <v>-</v>
      </c>
      <c r="N407" s="822" t="e">
        <f t="shared" si="13"/>
        <v>#VALUE!</v>
      </c>
      <c r="O407" s="733" t="e">
        <f t="shared" si="27"/>
        <v>#VALUE!</v>
      </c>
      <c r="P407" s="822" t="e">
        <f t="shared" si="28"/>
        <v>#VALUE!</v>
      </c>
      <c r="Q407" s="823"/>
      <c r="R407" s="942"/>
      <c r="S407" s="402" t="e">
        <f t="shared" si="72"/>
        <v>#VALUE!</v>
      </c>
      <c r="T407" s="402" t="e">
        <f t="shared" si="73"/>
        <v>#VALUE!</v>
      </c>
      <c r="U407" s="402" t="e">
        <f t="shared" si="74"/>
        <v>#VALUE!</v>
      </c>
      <c r="V407" s="402" t="e">
        <f t="shared" si="75"/>
        <v>#VALUE!</v>
      </c>
      <c r="W407" s="402" t="e">
        <f t="shared" si="76"/>
        <v>#VALUE!</v>
      </c>
      <c r="X407" s="402" t="e">
        <f t="shared" si="77"/>
        <v>#VALUE!</v>
      </c>
      <c r="Y407" s="402" t="e">
        <f t="shared" si="78"/>
        <v>#VALUE!</v>
      </c>
      <c r="Z407" s="402" t="e">
        <f t="shared" si="79"/>
        <v>#VALUE!</v>
      </c>
      <c r="AA407" s="402" t="e">
        <f t="shared" si="80"/>
        <v>#VALUE!</v>
      </c>
      <c r="AB407" s="669" t="e">
        <f t="shared" si="81"/>
        <v>#VALUE!</v>
      </c>
      <c r="AC407" s="403"/>
    </row>
    <row r="408" spans="2:29" s="121" customFormat="1" outlineLevel="1">
      <c r="B408" s="1167"/>
      <c r="C408" s="1168"/>
      <c r="D408" s="1750" t="s">
        <v>290</v>
      </c>
      <c r="E408" s="1751"/>
      <c r="F408" s="1751"/>
      <c r="G408" s="1752"/>
      <c r="H408" s="835"/>
      <c r="I408" s="1327" t="e">
        <f t="shared" si="0"/>
        <v>#DIV/0!</v>
      </c>
      <c r="J408" s="736" t="s">
        <v>365</v>
      </c>
      <c r="K408" s="736" t="s">
        <v>365</v>
      </c>
      <c r="L408" s="1330" t="str">
        <f t="shared" si="71"/>
        <v>Non renseigné</v>
      </c>
      <c r="M408" s="736" t="str">
        <f t="shared" si="12"/>
        <v>-</v>
      </c>
      <c r="N408" s="822" t="e">
        <f t="shared" si="13"/>
        <v>#VALUE!</v>
      </c>
      <c r="O408" s="733" t="e">
        <f t="shared" si="27"/>
        <v>#VALUE!</v>
      </c>
      <c r="P408" s="822" t="e">
        <f t="shared" si="28"/>
        <v>#VALUE!</v>
      </c>
      <c r="Q408" s="823"/>
      <c r="R408" s="942"/>
      <c r="S408" s="402" t="e">
        <f t="shared" si="72"/>
        <v>#VALUE!</v>
      </c>
      <c r="T408" s="402" t="e">
        <f t="shared" si="73"/>
        <v>#VALUE!</v>
      </c>
      <c r="U408" s="402" t="e">
        <f t="shared" si="74"/>
        <v>#VALUE!</v>
      </c>
      <c r="V408" s="402" t="e">
        <f t="shared" si="75"/>
        <v>#VALUE!</v>
      </c>
      <c r="W408" s="402" t="e">
        <f t="shared" si="76"/>
        <v>#VALUE!</v>
      </c>
      <c r="X408" s="402" t="e">
        <f t="shared" si="77"/>
        <v>#VALUE!</v>
      </c>
      <c r="Y408" s="402" t="e">
        <f t="shared" si="78"/>
        <v>#VALUE!</v>
      </c>
      <c r="Z408" s="402" t="e">
        <f t="shared" si="79"/>
        <v>#VALUE!</v>
      </c>
      <c r="AA408" s="402" t="e">
        <f t="shared" si="80"/>
        <v>#VALUE!</v>
      </c>
      <c r="AB408" s="669" t="e">
        <f t="shared" si="81"/>
        <v>#VALUE!</v>
      </c>
      <c r="AC408" s="403"/>
    </row>
    <row r="409" spans="2:29" s="121" customFormat="1" outlineLevel="1">
      <c r="B409" s="1167"/>
      <c r="C409" s="1168"/>
      <c r="D409" s="1750" t="s">
        <v>290</v>
      </c>
      <c r="E409" s="1751"/>
      <c r="F409" s="1751"/>
      <c r="G409" s="1752"/>
      <c r="H409" s="835"/>
      <c r="I409" s="1327" t="e">
        <f t="shared" si="0"/>
        <v>#DIV/0!</v>
      </c>
      <c r="J409" s="736" t="s">
        <v>365</v>
      </c>
      <c r="K409" s="736" t="s">
        <v>365</v>
      </c>
      <c r="L409" s="1330" t="str">
        <f t="shared" si="71"/>
        <v>Non renseigné</v>
      </c>
      <c r="M409" s="736" t="str">
        <f t="shared" si="12"/>
        <v>-</v>
      </c>
      <c r="N409" s="822" t="e">
        <f t="shared" si="13"/>
        <v>#VALUE!</v>
      </c>
      <c r="O409" s="733" t="e">
        <f t="shared" si="27"/>
        <v>#VALUE!</v>
      </c>
      <c r="P409" s="822" t="e">
        <f t="shared" si="28"/>
        <v>#VALUE!</v>
      </c>
      <c r="Q409" s="823"/>
      <c r="R409" s="942"/>
      <c r="S409" s="402" t="e">
        <f t="shared" si="72"/>
        <v>#VALUE!</v>
      </c>
      <c r="T409" s="402" t="e">
        <f t="shared" si="73"/>
        <v>#VALUE!</v>
      </c>
      <c r="U409" s="402" t="e">
        <f t="shared" si="74"/>
        <v>#VALUE!</v>
      </c>
      <c r="V409" s="402" t="e">
        <f t="shared" si="75"/>
        <v>#VALUE!</v>
      </c>
      <c r="W409" s="402" t="e">
        <f t="shared" si="76"/>
        <v>#VALUE!</v>
      </c>
      <c r="X409" s="402" t="e">
        <f t="shared" si="77"/>
        <v>#VALUE!</v>
      </c>
      <c r="Y409" s="402" t="e">
        <f t="shared" si="78"/>
        <v>#VALUE!</v>
      </c>
      <c r="Z409" s="402" t="e">
        <f t="shared" si="79"/>
        <v>#VALUE!</v>
      </c>
      <c r="AA409" s="402" t="e">
        <f t="shared" si="80"/>
        <v>#VALUE!</v>
      </c>
      <c r="AB409" s="669" t="e">
        <f t="shared" si="81"/>
        <v>#VALUE!</v>
      </c>
      <c r="AC409" s="403"/>
    </row>
    <row r="410" spans="2:29" s="121" customFormat="1" outlineLevel="1">
      <c r="B410" s="1167"/>
      <c r="C410" s="1168"/>
      <c r="D410" s="1750" t="s">
        <v>290</v>
      </c>
      <c r="E410" s="1751"/>
      <c r="F410" s="1751"/>
      <c r="G410" s="1752"/>
      <c r="H410" s="835"/>
      <c r="I410" s="1327" t="e">
        <f t="shared" si="0"/>
        <v>#DIV/0!</v>
      </c>
      <c r="J410" s="736" t="s">
        <v>365</v>
      </c>
      <c r="K410" s="736" t="s">
        <v>365</v>
      </c>
      <c r="L410" s="1330" t="str">
        <f t="shared" si="71"/>
        <v>Non renseigné</v>
      </c>
      <c r="M410" s="736" t="str">
        <f t="shared" si="12"/>
        <v>-</v>
      </c>
      <c r="N410" s="822" t="e">
        <f t="shared" si="13"/>
        <v>#VALUE!</v>
      </c>
      <c r="O410" s="733" t="e">
        <f t="shared" si="27"/>
        <v>#VALUE!</v>
      </c>
      <c r="P410" s="822" t="e">
        <f t="shared" si="28"/>
        <v>#VALUE!</v>
      </c>
      <c r="Q410" s="823"/>
      <c r="R410" s="942"/>
      <c r="S410" s="402" t="e">
        <f t="shared" si="72"/>
        <v>#VALUE!</v>
      </c>
      <c r="T410" s="402" t="e">
        <f t="shared" si="73"/>
        <v>#VALUE!</v>
      </c>
      <c r="U410" s="402" t="e">
        <f t="shared" si="74"/>
        <v>#VALUE!</v>
      </c>
      <c r="V410" s="402" t="e">
        <f t="shared" si="75"/>
        <v>#VALUE!</v>
      </c>
      <c r="W410" s="402" t="e">
        <f t="shared" si="76"/>
        <v>#VALUE!</v>
      </c>
      <c r="X410" s="402" t="e">
        <f t="shared" si="77"/>
        <v>#VALUE!</v>
      </c>
      <c r="Y410" s="402" t="e">
        <f t="shared" si="78"/>
        <v>#VALUE!</v>
      </c>
      <c r="Z410" s="402" t="e">
        <f t="shared" si="79"/>
        <v>#VALUE!</v>
      </c>
      <c r="AA410" s="402" t="e">
        <f t="shared" si="80"/>
        <v>#VALUE!</v>
      </c>
      <c r="AB410" s="669" t="e">
        <f t="shared" si="81"/>
        <v>#VALUE!</v>
      </c>
      <c r="AC410" s="403"/>
    </row>
    <row r="411" spans="2:29" s="121" customFormat="1" outlineLevel="1">
      <c r="B411" s="1167"/>
      <c r="C411" s="1168"/>
      <c r="D411" s="1750" t="s">
        <v>290</v>
      </c>
      <c r="E411" s="1751"/>
      <c r="F411" s="1751"/>
      <c r="G411" s="1752"/>
      <c r="H411" s="835"/>
      <c r="I411" s="1327" t="e">
        <f t="shared" si="0"/>
        <v>#DIV/0!</v>
      </c>
      <c r="J411" s="736" t="s">
        <v>365</v>
      </c>
      <c r="K411" s="736" t="s">
        <v>365</v>
      </c>
      <c r="L411" s="1330" t="str">
        <f t="shared" si="71"/>
        <v>Non renseigné</v>
      </c>
      <c r="M411" s="736" t="str">
        <f t="shared" si="12"/>
        <v>-</v>
      </c>
      <c r="N411" s="822" t="e">
        <f t="shared" si="13"/>
        <v>#VALUE!</v>
      </c>
      <c r="O411" s="733" t="e">
        <f t="shared" si="27"/>
        <v>#VALUE!</v>
      </c>
      <c r="P411" s="822" t="e">
        <f t="shared" si="28"/>
        <v>#VALUE!</v>
      </c>
      <c r="Q411" s="823"/>
      <c r="R411" s="942"/>
      <c r="S411" s="402" t="e">
        <f t="shared" si="72"/>
        <v>#VALUE!</v>
      </c>
      <c r="T411" s="402" t="e">
        <f t="shared" si="73"/>
        <v>#VALUE!</v>
      </c>
      <c r="U411" s="402" t="e">
        <f t="shared" si="74"/>
        <v>#VALUE!</v>
      </c>
      <c r="V411" s="402" t="e">
        <f t="shared" si="75"/>
        <v>#VALUE!</v>
      </c>
      <c r="W411" s="402" t="e">
        <f t="shared" si="76"/>
        <v>#VALUE!</v>
      </c>
      <c r="X411" s="402" t="e">
        <f t="shared" si="77"/>
        <v>#VALUE!</v>
      </c>
      <c r="Y411" s="402" t="e">
        <f t="shared" si="78"/>
        <v>#VALUE!</v>
      </c>
      <c r="Z411" s="402" t="e">
        <f t="shared" si="79"/>
        <v>#VALUE!</v>
      </c>
      <c r="AA411" s="402" t="e">
        <f t="shared" si="80"/>
        <v>#VALUE!</v>
      </c>
      <c r="AB411" s="669" t="e">
        <f t="shared" si="81"/>
        <v>#VALUE!</v>
      </c>
      <c r="AC411" s="403"/>
    </row>
    <row r="412" spans="2:29" s="121" customFormat="1" outlineLevel="1">
      <c r="B412" s="1167"/>
      <c r="C412" s="1168"/>
      <c r="D412" s="1750" t="s">
        <v>290</v>
      </c>
      <c r="E412" s="1751"/>
      <c r="F412" s="1751"/>
      <c r="G412" s="1752"/>
      <c r="H412" s="835"/>
      <c r="I412" s="1327" t="e">
        <f t="shared" si="0"/>
        <v>#DIV/0!</v>
      </c>
      <c r="J412" s="736" t="s">
        <v>365</v>
      </c>
      <c r="K412" s="736" t="s">
        <v>365</v>
      </c>
      <c r="L412" s="1330" t="str">
        <f t="shared" si="71"/>
        <v>Non renseigné</v>
      </c>
      <c r="M412" s="736" t="str">
        <f t="shared" si="12"/>
        <v>-</v>
      </c>
      <c r="N412" s="822" t="e">
        <f t="shared" si="13"/>
        <v>#VALUE!</v>
      </c>
      <c r="O412" s="733" t="e">
        <f t="shared" si="27"/>
        <v>#VALUE!</v>
      </c>
      <c r="P412" s="822" t="e">
        <f t="shared" si="28"/>
        <v>#VALUE!</v>
      </c>
      <c r="Q412" s="823"/>
      <c r="R412" s="942"/>
      <c r="S412" s="402" t="e">
        <f t="shared" si="72"/>
        <v>#VALUE!</v>
      </c>
      <c r="T412" s="402" t="e">
        <f t="shared" si="73"/>
        <v>#VALUE!</v>
      </c>
      <c r="U412" s="402" t="e">
        <f t="shared" si="74"/>
        <v>#VALUE!</v>
      </c>
      <c r="V412" s="402" t="e">
        <f t="shared" si="75"/>
        <v>#VALUE!</v>
      </c>
      <c r="W412" s="402" t="e">
        <f t="shared" si="76"/>
        <v>#VALUE!</v>
      </c>
      <c r="X412" s="402" t="e">
        <f t="shared" si="77"/>
        <v>#VALUE!</v>
      </c>
      <c r="Y412" s="402" t="e">
        <f t="shared" si="78"/>
        <v>#VALUE!</v>
      </c>
      <c r="Z412" s="402" t="e">
        <f t="shared" si="79"/>
        <v>#VALUE!</v>
      </c>
      <c r="AA412" s="402" t="e">
        <f t="shared" si="80"/>
        <v>#VALUE!</v>
      </c>
      <c r="AB412" s="669" t="e">
        <f t="shared" si="81"/>
        <v>#VALUE!</v>
      </c>
      <c r="AC412" s="403"/>
    </row>
    <row r="413" spans="2:29" s="121" customFormat="1" outlineLevel="1">
      <c r="B413" s="1167"/>
      <c r="C413" s="1168"/>
      <c r="D413" s="1750" t="s">
        <v>290</v>
      </c>
      <c r="E413" s="1751"/>
      <c r="F413" s="1751"/>
      <c r="G413" s="1752"/>
      <c r="H413" s="835"/>
      <c r="I413" s="1327" t="e">
        <f t="shared" si="0"/>
        <v>#DIV/0!</v>
      </c>
      <c r="J413" s="736" t="s">
        <v>365</v>
      </c>
      <c r="K413" s="736" t="s">
        <v>365</v>
      </c>
      <c r="L413" s="1330" t="str">
        <f t="shared" si="71"/>
        <v>Non renseigné</v>
      </c>
      <c r="M413" s="736" t="str">
        <f t="shared" si="12"/>
        <v>-</v>
      </c>
      <c r="N413" s="822" t="e">
        <f t="shared" si="13"/>
        <v>#VALUE!</v>
      </c>
      <c r="O413" s="733" t="e">
        <f t="shared" si="27"/>
        <v>#VALUE!</v>
      </c>
      <c r="P413" s="822" t="e">
        <f t="shared" si="28"/>
        <v>#VALUE!</v>
      </c>
      <c r="Q413" s="823"/>
      <c r="R413" s="942"/>
      <c r="S413" s="402" t="e">
        <f t="shared" si="72"/>
        <v>#VALUE!</v>
      </c>
      <c r="T413" s="402" t="e">
        <f t="shared" si="73"/>
        <v>#VALUE!</v>
      </c>
      <c r="U413" s="402" t="e">
        <f t="shared" si="74"/>
        <v>#VALUE!</v>
      </c>
      <c r="V413" s="402" t="e">
        <f t="shared" si="75"/>
        <v>#VALUE!</v>
      </c>
      <c r="W413" s="402" t="e">
        <f t="shared" si="76"/>
        <v>#VALUE!</v>
      </c>
      <c r="X413" s="402" t="e">
        <f t="shared" si="77"/>
        <v>#VALUE!</v>
      </c>
      <c r="Y413" s="402" t="e">
        <f t="shared" si="78"/>
        <v>#VALUE!</v>
      </c>
      <c r="Z413" s="402" t="e">
        <f t="shared" si="79"/>
        <v>#VALUE!</v>
      </c>
      <c r="AA413" s="402" t="e">
        <f t="shared" si="80"/>
        <v>#VALUE!</v>
      </c>
      <c r="AB413" s="669" t="e">
        <f t="shared" si="81"/>
        <v>#VALUE!</v>
      </c>
      <c r="AC413" s="403"/>
    </row>
    <row r="414" spans="2:29" s="121" customFormat="1" outlineLevel="1">
      <c r="B414" s="1167"/>
      <c r="C414" s="1168"/>
      <c r="D414" s="1750" t="s">
        <v>290</v>
      </c>
      <c r="E414" s="1751"/>
      <c r="F414" s="1751"/>
      <c r="G414" s="1752"/>
      <c r="H414" s="835"/>
      <c r="I414" s="1327" t="e">
        <f t="shared" si="0"/>
        <v>#DIV/0!</v>
      </c>
      <c r="J414" s="736" t="s">
        <v>365</v>
      </c>
      <c r="K414" s="736" t="s">
        <v>365</v>
      </c>
      <c r="L414" s="1330" t="str">
        <f t="shared" si="71"/>
        <v>Non renseigné</v>
      </c>
      <c r="M414" s="736" t="str">
        <f t="shared" si="12"/>
        <v>-</v>
      </c>
      <c r="N414" s="822" t="e">
        <f t="shared" si="13"/>
        <v>#VALUE!</v>
      </c>
      <c r="O414" s="733" t="e">
        <f t="shared" si="27"/>
        <v>#VALUE!</v>
      </c>
      <c r="P414" s="822" t="e">
        <f t="shared" si="28"/>
        <v>#VALUE!</v>
      </c>
      <c r="Q414" s="823"/>
      <c r="R414" s="942"/>
      <c r="S414" s="402" t="e">
        <f t="shared" si="72"/>
        <v>#VALUE!</v>
      </c>
      <c r="T414" s="402" t="e">
        <f t="shared" si="73"/>
        <v>#VALUE!</v>
      </c>
      <c r="U414" s="402" t="e">
        <f t="shared" si="74"/>
        <v>#VALUE!</v>
      </c>
      <c r="V414" s="402" t="e">
        <f t="shared" si="75"/>
        <v>#VALUE!</v>
      </c>
      <c r="W414" s="402" t="e">
        <f t="shared" si="76"/>
        <v>#VALUE!</v>
      </c>
      <c r="X414" s="402" t="e">
        <f t="shared" si="77"/>
        <v>#VALUE!</v>
      </c>
      <c r="Y414" s="402" t="e">
        <f t="shared" si="78"/>
        <v>#VALUE!</v>
      </c>
      <c r="Z414" s="402" t="e">
        <f t="shared" si="79"/>
        <v>#VALUE!</v>
      </c>
      <c r="AA414" s="402" t="e">
        <f t="shared" si="80"/>
        <v>#VALUE!</v>
      </c>
      <c r="AB414" s="669" t="e">
        <f t="shared" si="81"/>
        <v>#VALUE!</v>
      </c>
      <c r="AC414" s="403"/>
    </row>
    <row r="415" spans="2:29" s="121" customFormat="1" outlineLevel="1">
      <c r="B415" s="1167"/>
      <c r="C415" s="1168"/>
      <c r="D415" s="1750" t="s">
        <v>290</v>
      </c>
      <c r="E415" s="1751"/>
      <c r="F415" s="1751"/>
      <c r="G415" s="1752"/>
      <c r="H415" s="835"/>
      <c r="I415" s="1327" t="e">
        <f t="shared" si="0"/>
        <v>#DIV/0!</v>
      </c>
      <c r="J415" s="736" t="s">
        <v>365</v>
      </c>
      <c r="K415" s="736" t="s">
        <v>365</v>
      </c>
      <c r="L415" s="1330" t="str">
        <f t="shared" si="71"/>
        <v>Non renseigné</v>
      </c>
      <c r="M415" s="736" t="str">
        <f t="shared" si="12"/>
        <v>-</v>
      </c>
      <c r="N415" s="822" t="e">
        <f t="shared" si="13"/>
        <v>#VALUE!</v>
      </c>
      <c r="O415" s="733" t="e">
        <f t="shared" si="27"/>
        <v>#VALUE!</v>
      </c>
      <c r="P415" s="822" t="e">
        <f t="shared" si="28"/>
        <v>#VALUE!</v>
      </c>
      <c r="Q415" s="823"/>
      <c r="R415" s="942"/>
      <c r="S415" s="402" t="e">
        <f t="shared" si="72"/>
        <v>#VALUE!</v>
      </c>
      <c r="T415" s="402" t="e">
        <f t="shared" si="73"/>
        <v>#VALUE!</v>
      </c>
      <c r="U415" s="402" t="e">
        <f t="shared" si="74"/>
        <v>#VALUE!</v>
      </c>
      <c r="V415" s="402" t="e">
        <f t="shared" si="75"/>
        <v>#VALUE!</v>
      </c>
      <c r="W415" s="402" t="e">
        <f t="shared" si="76"/>
        <v>#VALUE!</v>
      </c>
      <c r="X415" s="402" t="e">
        <f t="shared" si="77"/>
        <v>#VALUE!</v>
      </c>
      <c r="Y415" s="402" t="e">
        <f t="shared" si="78"/>
        <v>#VALUE!</v>
      </c>
      <c r="Z415" s="402" t="e">
        <f t="shared" si="79"/>
        <v>#VALUE!</v>
      </c>
      <c r="AA415" s="402" t="e">
        <f t="shared" si="80"/>
        <v>#VALUE!</v>
      </c>
      <c r="AB415" s="669" t="e">
        <f t="shared" si="81"/>
        <v>#VALUE!</v>
      </c>
      <c r="AC415" s="403"/>
    </row>
    <row r="416" spans="2:29" s="121" customFormat="1" outlineLevel="1">
      <c r="B416" s="1167"/>
      <c r="C416" s="1168"/>
      <c r="D416" s="1750" t="s">
        <v>290</v>
      </c>
      <c r="E416" s="1751"/>
      <c r="F416" s="1751"/>
      <c r="G416" s="1752"/>
      <c r="H416" s="835"/>
      <c r="I416" s="1327" t="e">
        <f t="shared" si="0"/>
        <v>#DIV/0!</v>
      </c>
      <c r="J416" s="736" t="s">
        <v>365</v>
      </c>
      <c r="K416" s="736" t="s">
        <v>365</v>
      </c>
      <c r="L416" s="1330" t="str">
        <f t="shared" si="71"/>
        <v>Non renseigné</v>
      </c>
      <c r="M416" s="736" t="str">
        <f t="shared" si="12"/>
        <v>-</v>
      </c>
      <c r="N416" s="822" t="e">
        <f t="shared" si="13"/>
        <v>#VALUE!</v>
      </c>
      <c r="O416" s="733" t="e">
        <f t="shared" si="27"/>
        <v>#VALUE!</v>
      </c>
      <c r="P416" s="822" t="e">
        <f t="shared" si="28"/>
        <v>#VALUE!</v>
      </c>
      <c r="Q416" s="823"/>
      <c r="R416" s="942"/>
      <c r="S416" s="402" t="e">
        <f t="shared" si="72"/>
        <v>#VALUE!</v>
      </c>
      <c r="T416" s="402" t="e">
        <f t="shared" si="73"/>
        <v>#VALUE!</v>
      </c>
      <c r="U416" s="402" t="e">
        <f t="shared" si="74"/>
        <v>#VALUE!</v>
      </c>
      <c r="V416" s="402" t="e">
        <f t="shared" si="75"/>
        <v>#VALUE!</v>
      </c>
      <c r="W416" s="402" t="e">
        <f t="shared" si="76"/>
        <v>#VALUE!</v>
      </c>
      <c r="X416" s="402" t="e">
        <f t="shared" si="77"/>
        <v>#VALUE!</v>
      </c>
      <c r="Y416" s="402" t="e">
        <f t="shared" si="78"/>
        <v>#VALUE!</v>
      </c>
      <c r="Z416" s="402" t="e">
        <f t="shared" si="79"/>
        <v>#VALUE!</v>
      </c>
      <c r="AA416" s="402" t="e">
        <f t="shared" si="80"/>
        <v>#VALUE!</v>
      </c>
      <c r="AB416" s="669" t="e">
        <f t="shared" si="81"/>
        <v>#VALUE!</v>
      </c>
      <c r="AC416" s="403"/>
    </row>
    <row r="417" spans="2:29" s="121" customFormat="1" outlineLevel="1">
      <c r="B417" s="1167"/>
      <c r="C417" s="1168"/>
      <c r="D417" s="1750" t="s">
        <v>290</v>
      </c>
      <c r="E417" s="1751"/>
      <c r="F417" s="1751"/>
      <c r="G417" s="1752"/>
      <c r="H417" s="835"/>
      <c r="I417" s="1327" t="e">
        <f t="shared" si="0"/>
        <v>#DIV/0!</v>
      </c>
      <c r="J417" s="736" t="s">
        <v>365</v>
      </c>
      <c r="K417" s="736" t="s">
        <v>365</v>
      </c>
      <c r="L417" s="1330" t="str">
        <f t="shared" si="71"/>
        <v>Non renseigné</v>
      </c>
      <c r="M417" s="736" t="str">
        <f t="shared" si="12"/>
        <v>-</v>
      </c>
      <c r="N417" s="822" t="e">
        <f t="shared" si="13"/>
        <v>#VALUE!</v>
      </c>
      <c r="O417" s="733" t="e">
        <f t="shared" si="27"/>
        <v>#VALUE!</v>
      </c>
      <c r="P417" s="822" t="e">
        <f t="shared" si="28"/>
        <v>#VALUE!</v>
      </c>
      <c r="Q417" s="823"/>
      <c r="R417" s="942"/>
      <c r="S417" s="402" t="e">
        <f t="shared" si="72"/>
        <v>#VALUE!</v>
      </c>
      <c r="T417" s="402" t="e">
        <f t="shared" si="73"/>
        <v>#VALUE!</v>
      </c>
      <c r="U417" s="402" t="e">
        <f t="shared" si="74"/>
        <v>#VALUE!</v>
      </c>
      <c r="V417" s="402" t="e">
        <f t="shared" si="75"/>
        <v>#VALUE!</v>
      </c>
      <c r="W417" s="402" t="e">
        <f t="shared" si="76"/>
        <v>#VALUE!</v>
      </c>
      <c r="X417" s="402" t="e">
        <f t="shared" si="77"/>
        <v>#VALUE!</v>
      </c>
      <c r="Y417" s="402" t="e">
        <f t="shared" si="78"/>
        <v>#VALUE!</v>
      </c>
      <c r="Z417" s="402" t="e">
        <f t="shared" si="79"/>
        <v>#VALUE!</v>
      </c>
      <c r="AA417" s="402" t="e">
        <f t="shared" si="80"/>
        <v>#VALUE!</v>
      </c>
      <c r="AB417" s="669" t="e">
        <f t="shared" si="81"/>
        <v>#VALUE!</v>
      </c>
      <c r="AC417" s="403"/>
    </row>
    <row r="418" spans="2:29" s="121" customFormat="1" outlineLevel="1">
      <c r="B418" s="1167"/>
      <c r="C418" s="1168"/>
      <c r="D418" s="1750" t="s">
        <v>290</v>
      </c>
      <c r="E418" s="1751"/>
      <c r="F418" s="1751"/>
      <c r="G418" s="1752"/>
      <c r="H418" s="835"/>
      <c r="I418" s="1327" t="e">
        <f t="shared" si="0"/>
        <v>#DIV/0!</v>
      </c>
      <c r="J418" s="736" t="s">
        <v>365</v>
      </c>
      <c r="K418" s="736" t="s">
        <v>365</v>
      </c>
      <c r="L418" s="1330" t="str">
        <f t="shared" si="71"/>
        <v>Non renseigné</v>
      </c>
      <c r="M418" s="736" t="str">
        <f t="shared" si="12"/>
        <v>-</v>
      </c>
      <c r="N418" s="822" t="e">
        <f t="shared" si="13"/>
        <v>#VALUE!</v>
      </c>
      <c r="O418" s="733" t="e">
        <f t="shared" si="27"/>
        <v>#VALUE!</v>
      </c>
      <c r="P418" s="822" t="e">
        <f t="shared" si="28"/>
        <v>#VALUE!</v>
      </c>
      <c r="Q418" s="823"/>
      <c r="R418" s="942"/>
      <c r="S418" s="402" t="e">
        <f t="shared" si="72"/>
        <v>#VALUE!</v>
      </c>
      <c r="T418" s="402" t="e">
        <f t="shared" si="73"/>
        <v>#VALUE!</v>
      </c>
      <c r="U418" s="402" t="e">
        <f t="shared" si="74"/>
        <v>#VALUE!</v>
      </c>
      <c r="V418" s="402" t="e">
        <f t="shared" si="75"/>
        <v>#VALUE!</v>
      </c>
      <c r="W418" s="402" t="e">
        <f t="shared" si="76"/>
        <v>#VALUE!</v>
      </c>
      <c r="X418" s="402" t="e">
        <f t="shared" si="77"/>
        <v>#VALUE!</v>
      </c>
      <c r="Y418" s="402" t="e">
        <f t="shared" si="78"/>
        <v>#VALUE!</v>
      </c>
      <c r="Z418" s="402" t="e">
        <f t="shared" si="79"/>
        <v>#VALUE!</v>
      </c>
      <c r="AA418" s="402" t="e">
        <f t="shared" si="80"/>
        <v>#VALUE!</v>
      </c>
      <c r="AB418" s="669" t="e">
        <f t="shared" si="81"/>
        <v>#VALUE!</v>
      </c>
      <c r="AC418" s="403"/>
    </row>
    <row r="419" spans="2:29" s="121" customFormat="1" outlineLevel="1">
      <c r="B419" s="1167"/>
      <c r="C419" s="1168"/>
      <c r="D419" s="1750" t="s">
        <v>290</v>
      </c>
      <c r="E419" s="1751"/>
      <c r="F419" s="1751"/>
      <c r="G419" s="1752"/>
      <c r="H419" s="835"/>
      <c r="I419" s="1327" t="e">
        <f t="shared" si="0"/>
        <v>#DIV/0!</v>
      </c>
      <c r="J419" s="736" t="s">
        <v>365</v>
      </c>
      <c r="K419" s="736" t="s">
        <v>365</v>
      </c>
      <c r="L419" s="1330" t="str">
        <f t="shared" si="71"/>
        <v>Non renseigné</v>
      </c>
      <c r="M419" s="736" t="str">
        <f t="shared" si="12"/>
        <v>-</v>
      </c>
      <c r="N419" s="822" t="e">
        <f t="shared" si="13"/>
        <v>#VALUE!</v>
      </c>
      <c r="O419" s="733" t="e">
        <f t="shared" si="27"/>
        <v>#VALUE!</v>
      </c>
      <c r="P419" s="822" t="e">
        <f t="shared" si="28"/>
        <v>#VALUE!</v>
      </c>
      <c r="Q419" s="823"/>
      <c r="R419" s="942"/>
      <c r="S419" s="402" t="e">
        <f t="shared" si="72"/>
        <v>#VALUE!</v>
      </c>
      <c r="T419" s="402" t="e">
        <f t="shared" si="73"/>
        <v>#VALUE!</v>
      </c>
      <c r="U419" s="402" t="e">
        <f t="shared" si="74"/>
        <v>#VALUE!</v>
      </c>
      <c r="V419" s="402" t="e">
        <f t="shared" si="75"/>
        <v>#VALUE!</v>
      </c>
      <c r="W419" s="402" t="e">
        <f t="shared" si="76"/>
        <v>#VALUE!</v>
      </c>
      <c r="X419" s="402" t="e">
        <f t="shared" si="77"/>
        <v>#VALUE!</v>
      </c>
      <c r="Y419" s="402" t="e">
        <f t="shared" si="78"/>
        <v>#VALUE!</v>
      </c>
      <c r="Z419" s="402" t="e">
        <f t="shared" si="79"/>
        <v>#VALUE!</v>
      </c>
      <c r="AA419" s="402" t="e">
        <f t="shared" si="80"/>
        <v>#VALUE!</v>
      </c>
      <c r="AB419" s="669" t="e">
        <f t="shared" si="81"/>
        <v>#VALUE!</v>
      </c>
      <c r="AC419" s="403"/>
    </row>
    <row r="420" spans="2:29" s="121" customFormat="1" outlineLevel="1">
      <c r="B420" s="1167"/>
      <c r="C420" s="1168"/>
      <c r="D420" s="1750" t="s">
        <v>290</v>
      </c>
      <c r="E420" s="1751"/>
      <c r="F420" s="1751"/>
      <c r="G420" s="1752"/>
      <c r="H420" s="835"/>
      <c r="I420" s="1327" t="e">
        <f t="shared" ref="I420:I499" si="82">H420*(1/Q420)</f>
        <v>#DIV/0!</v>
      </c>
      <c r="J420" s="736" t="s">
        <v>365</v>
      </c>
      <c r="K420" s="736" t="s">
        <v>365</v>
      </c>
      <c r="L420" s="1330" t="str">
        <f t="shared" ref="L420:L499" si="83">IF(D420="Bâtiments avec mise en service N+1",J420+1,J420)</f>
        <v>Non renseigné</v>
      </c>
      <c r="M420" s="736" t="str">
        <f t="shared" ref="M420:M499" si="84">VLOOKUP(K420,$AD$14:$AE$27,2,FALSE)</f>
        <v>-</v>
      </c>
      <c r="N420" s="822" t="e">
        <f t="shared" ref="N420:N499" si="85">H420*(M420/12)*(1/Q420)</f>
        <v>#VALUE!</v>
      </c>
      <c r="O420" s="733" t="e">
        <f t="shared" ref="O420:O499" si="86">12-M420</f>
        <v>#VALUE!</v>
      </c>
      <c r="P420" s="822" t="e">
        <f t="shared" ref="P420:P499" si="87">H420*(O420/12)*(1/Q420)</f>
        <v>#VALUE!</v>
      </c>
      <c r="Q420" s="823"/>
      <c r="R420" s="942"/>
      <c r="S420" s="402" t="e">
        <f t="shared" si="72"/>
        <v>#VALUE!</v>
      </c>
      <c r="T420" s="402" t="e">
        <f t="shared" si="73"/>
        <v>#VALUE!</v>
      </c>
      <c r="U420" s="402" t="e">
        <f t="shared" si="74"/>
        <v>#VALUE!</v>
      </c>
      <c r="V420" s="402" t="e">
        <f t="shared" si="75"/>
        <v>#VALUE!</v>
      </c>
      <c r="W420" s="402" t="e">
        <f t="shared" si="76"/>
        <v>#VALUE!</v>
      </c>
      <c r="X420" s="402" t="e">
        <f t="shared" si="77"/>
        <v>#VALUE!</v>
      </c>
      <c r="Y420" s="402" t="e">
        <f t="shared" si="78"/>
        <v>#VALUE!</v>
      </c>
      <c r="Z420" s="402" t="e">
        <f t="shared" si="79"/>
        <v>#VALUE!</v>
      </c>
      <c r="AA420" s="402" t="e">
        <f t="shared" si="80"/>
        <v>#VALUE!</v>
      </c>
      <c r="AB420" s="669" t="e">
        <f t="shared" si="81"/>
        <v>#VALUE!</v>
      </c>
      <c r="AC420" s="403"/>
    </row>
    <row r="421" spans="2:29" s="121" customFormat="1" outlineLevel="1">
      <c r="B421" s="1167"/>
      <c r="C421" s="1168"/>
      <c r="D421" s="1750" t="s">
        <v>290</v>
      </c>
      <c r="E421" s="1751"/>
      <c r="F421" s="1751"/>
      <c r="G421" s="1752"/>
      <c r="H421" s="835"/>
      <c r="I421" s="1327" t="e">
        <f t="shared" si="82"/>
        <v>#DIV/0!</v>
      </c>
      <c r="J421" s="736" t="s">
        <v>365</v>
      </c>
      <c r="K421" s="736" t="s">
        <v>365</v>
      </c>
      <c r="L421" s="1330" t="str">
        <f t="shared" si="83"/>
        <v>Non renseigné</v>
      </c>
      <c r="M421" s="736" t="str">
        <f t="shared" si="84"/>
        <v>-</v>
      </c>
      <c r="N421" s="822" t="e">
        <f t="shared" si="85"/>
        <v>#VALUE!</v>
      </c>
      <c r="O421" s="733" t="e">
        <f t="shared" si="86"/>
        <v>#VALUE!</v>
      </c>
      <c r="P421" s="822" t="e">
        <f t="shared" si="87"/>
        <v>#VALUE!</v>
      </c>
      <c r="Q421" s="823"/>
      <c r="R421" s="942"/>
      <c r="S421" s="402" t="e">
        <f t="shared" si="72"/>
        <v>#VALUE!</v>
      </c>
      <c r="T421" s="402" t="e">
        <f t="shared" si="73"/>
        <v>#VALUE!</v>
      </c>
      <c r="U421" s="402" t="e">
        <f t="shared" si="74"/>
        <v>#VALUE!</v>
      </c>
      <c r="V421" s="402" t="e">
        <f t="shared" si="75"/>
        <v>#VALUE!</v>
      </c>
      <c r="W421" s="402" t="e">
        <f t="shared" si="76"/>
        <v>#VALUE!</v>
      </c>
      <c r="X421" s="402" t="e">
        <f t="shared" si="77"/>
        <v>#VALUE!</v>
      </c>
      <c r="Y421" s="402" t="e">
        <f t="shared" si="78"/>
        <v>#VALUE!</v>
      </c>
      <c r="Z421" s="402" t="e">
        <f t="shared" si="79"/>
        <v>#VALUE!</v>
      </c>
      <c r="AA421" s="402" t="e">
        <f t="shared" si="80"/>
        <v>#VALUE!</v>
      </c>
      <c r="AB421" s="669" t="e">
        <f t="shared" si="81"/>
        <v>#VALUE!</v>
      </c>
      <c r="AC421" s="403"/>
    </row>
    <row r="422" spans="2:29" s="121" customFormat="1" outlineLevel="1">
      <c r="B422" s="1167"/>
      <c r="C422" s="1168"/>
      <c r="D422" s="1750" t="s">
        <v>290</v>
      </c>
      <c r="E422" s="1751"/>
      <c r="F422" s="1751"/>
      <c r="G422" s="1752"/>
      <c r="H422" s="835"/>
      <c r="I422" s="1327" t="e">
        <f t="shared" si="82"/>
        <v>#DIV/0!</v>
      </c>
      <c r="J422" s="736" t="s">
        <v>365</v>
      </c>
      <c r="K422" s="736" t="s">
        <v>365</v>
      </c>
      <c r="L422" s="1330" t="str">
        <f t="shared" si="83"/>
        <v>Non renseigné</v>
      </c>
      <c r="M422" s="736" t="str">
        <f t="shared" si="84"/>
        <v>-</v>
      </c>
      <c r="N422" s="822" t="e">
        <f t="shared" si="85"/>
        <v>#VALUE!</v>
      </c>
      <c r="O422" s="733" t="e">
        <f t="shared" si="86"/>
        <v>#VALUE!</v>
      </c>
      <c r="P422" s="822" t="e">
        <f t="shared" si="87"/>
        <v>#VALUE!</v>
      </c>
      <c r="Q422" s="823"/>
      <c r="R422" s="942"/>
      <c r="S422" s="402" t="e">
        <f t="shared" si="72"/>
        <v>#VALUE!</v>
      </c>
      <c r="T422" s="402" t="e">
        <f t="shared" si="73"/>
        <v>#VALUE!</v>
      </c>
      <c r="U422" s="402" t="e">
        <f t="shared" si="74"/>
        <v>#VALUE!</v>
      </c>
      <c r="V422" s="402" t="e">
        <f t="shared" si="75"/>
        <v>#VALUE!</v>
      </c>
      <c r="W422" s="402" t="e">
        <f t="shared" si="76"/>
        <v>#VALUE!</v>
      </c>
      <c r="X422" s="402" t="e">
        <f t="shared" si="77"/>
        <v>#VALUE!</v>
      </c>
      <c r="Y422" s="402" t="e">
        <f t="shared" si="78"/>
        <v>#VALUE!</v>
      </c>
      <c r="Z422" s="402" t="e">
        <f t="shared" si="79"/>
        <v>#VALUE!</v>
      </c>
      <c r="AA422" s="402" t="e">
        <f t="shared" si="80"/>
        <v>#VALUE!</v>
      </c>
      <c r="AB422" s="669" t="e">
        <f t="shared" si="81"/>
        <v>#VALUE!</v>
      </c>
      <c r="AC422" s="403"/>
    </row>
    <row r="423" spans="2:29" s="121" customFormat="1" outlineLevel="1">
      <c r="B423" s="1167"/>
      <c r="C423" s="1168"/>
      <c r="D423" s="1750" t="s">
        <v>290</v>
      </c>
      <c r="E423" s="1751"/>
      <c r="F423" s="1751"/>
      <c r="G423" s="1752"/>
      <c r="H423" s="835"/>
      <c r="I423" s="1327" t="e">
        <f t="shared" si="82"/>
        <v>#DIV/0!</v>
      </c>
      <c r="J423" s="736" t="s">
        <v>365</v>
      </c>
      <c r="K423" s="736" t="s">
        <v>365</v>
      </c>
      <c r="L423" s="1330" t="str">
        <f t="shared" si="83"/>
        <v>Non renseigné</v>
      </c>
      <c r="M423" s="736" t="str">
        <f t="shared" si="84"/>
        <v>-</v>
      </c>
      <c r="N423" s="822" t="e">
        <f t="shared" si="85"/>
        <v>#VALUE!</v>
      </c>
      <c r="O423" s="733" t="e">
        <f t="shared" si="86"/>
        <v>#VALUE!</v>
      </c>
      <c r="P423" s="822" t="e">
        <f t="shared" si="87"/>
        <v>#VALUE!</v>
      </c>
      <c r="Q423" s="823"/>
      <c r="R423" s="942"/>
      <c r="S423" s="402" t="e">
        <f t="shared" si="72"/>
        <v>#VALUE!</v>
      </c>
      <c r="T423" s="402" t="e">
        <f t="shared" si="73"/>
        <v>#VALUE!</v>
      </c>
      <c r="U423" s="402" t="e">
        <f t="shared" si="74"/>
        <v>#VALUE!</v>
      </c>
      <c r="V423" s="402" t="e">
        <f t="shared" si="75"/>
        <v>#VALUE!</v>
      </c>
      <c r="W423" s="402" t="e">
        <f t="shared" si="76"/>
        <v>#VALUE!</v>
      </c>
      <c r="X423" s="402" t="e">
        <f t="shared" si="77"/>
        <v>#VALUE!</v>
      </c>
      <c r="Y423" s="402" t="e">
        <f t="shared" si="78"/>
        <v>#VALUE!</v>
      </c>
      <c r="Z423" s="402" t="e">
        <f t="shared" si="79"/>
        <v>#VALUE!</v>
      </c>
      <c r="AA423" s="402" t="e">
        <f t="shared" si="80"/>
        <v>#VALUE!</v>
      </c>
      <c r="AB423" s="669" t="e">
        <f t="shared" si="81"/>
        <v>#VALUE!</v>
      </c>
      <c r="AC423" s="403"/>
    </row>
    <row r="424" spans="2:29" s="121" customFormat="1" outlineLevel="1">
      <c r="B424" s="1167"/>
      <c r="C424" s="1168"/>
      <c r="D424" s="1750" t="s">
        <v>290</v>
      </c>
      <c r="E424" s="1751"/>
      <c r="F424" s="1751"/>
      <c r="G424" s="1752"/>
      <c r="H424" s="835"/>
      <c r="I424" s="1327" t="e">
        <f t="shared" si="82"/>
        <v>#DIV/0!</v>
      </c>
      <c r="J424" s="736" t="s">
        <v>365</v>
      </c>
      <c r="K424" s="736" t="s">
        <v>365</v>
      </c>
      <c r="L424" s="1330" t="str">
        <f t="shared" si="83"/>
        <v>Non renseigné</v>
      </c>
      <c r="M424" s="736" t="str">
        <f t="shared" si="84"/>
        <v>-</v>
      </c>
      <c r="N424" s="822" t="e">
        <f t="shared" si="85"/>
        <v>#VALUE!</v>
      </c>
      <c r="O424" s="733" t="e">
        <f t="shared" si="86"/>
        <v>#VALUE!</v>
      </c>
      <c r="P424" s="822" t="e">
        <f t="shared" si="87"/>
        <v>#VALUE!</v>
      </c>
      <c r="Q424" s="823"/>
      <c r="R424" s="942"/>
      <c r="S424" s="402" t="e">
        <f t="shared" si="72"/>
        <v>#VALUE!</v>
      </c>
      <c r="T424" s="402" t="e">
        <f t="shared" si="73"/>
        <v>#VALUE!</v>
      </c>
      <c r="U424" s="402" t="e">
        <f t="shared" si="74"/>
        <v>#VALUE!</v>
      </c>
      <c r="V424" s="402" t="e">
        <f t="shared" si="75"/>
        <v>#VALUE!</v>
      </c>
      <c r="W424" s="402" t="e">
        <f t="shared" si="76"/>
        <v>#VALUE!</v>
      </c>
      <c r="X424" s="402" t="e">
        <f t="shared" si="77"/>
        <v>#VALUE!</v>
      </c>
      <c r="Y424" s="402" t="e">
        <f t="shared" si="78"/>
        <v>#VALUE!</v>
      </c>
      <c r="Z424" s="402" t="e">
        <f t="shared" si="79"/>
        <v>#VALUE!</v>
      </c>
      <c r="AA424" s="402" t="e">
        <f t="shared" si="80"/>
        <v>#VALUE!</v>
      </c>
      <c r="AB424" s="669" t="e">
        <f t="shared" si="81"/>
        <v>#VALUE!</v>
      </c>
      <c r="AC424" s="403"/>
    </row>
    <row r="425" spans="2:29" s="121" customFormat="1" outlineLevel="1">
      <c r="B425" s="1167"/>
      <c r="C425" s="1168"/>
      <c r="D425" s="1750" t="s">
        <v>290</v>
      </c>
      <c r="E425" s="1751"/>
      <c r="F425" s="1751"/>
      <c r="G425" s="1752"/>
      <c r="H425" s="835"/>
      <c r="I425" s="1327" t="e">
        <f t="shared" si="82"/>
        <v>#DIV/0!</v>
      </c>
      <c r="J425" s="736" t="s">
        <v>365</v>
      </c>
      <c r="K425" s="736" t="s">
        <v>365</v>
      </c>
      <c r="L425" s="1330" t="str">
        <f t="shared" si="83"/>
        <v>Non renseigné</v>
      </c>
      <c r="M425" s="736" t="str">
        <f t="shared" si="84"/>
        <v>-</v>
      </c>
      <c r="N425" s="822" t="e">
        <f t="shared" si="85"/>
        <v>#VALUE!</v>
      </c>
      <c r="O425" s="733" t="e">
        <f t="shared" si="86"/>
        <v>#VALUE!</v>
      </c>
      <c r="P425" s="822" t="e">
        <f t="shared" si="87"/>
        <v>#VALUE!</v>
      </c>
      <c r="Q425" s="823"/>
      <c r="R425" s="942"/>
      <c r="S425" s="402" t="e">
        <f t="shared" si="72"/>
        <v>#VALUE!</v>
      </c>
      <c r="T425" s="402" t="e">
        <f t="shared" si="73"/>
        <v>#VALUE!</v>
      </c>
      <c r="U425" s="402" t="e">
        <f t="shared" si="74"/>
        <v>#VALUE!</v>
      </c>
      <c r="V425" s="402" t="e">
        <f t="shared" si="75"/>
        <v>#VALUE!</v>
      </c>
      <c r="W425" s="402" t="e">
        <f t="shared" si="76"/>
        <v>#VALUE!</v>
      </c>
      <c r="X425" s="402" t="e">
        <f t="shared" si="77"/>
        <v>#VALUE!</v>
      </c>
      <c r="Y425" s="402" t="e">
        <f t="shared" si="78"/>
        <v>#VALUE!</v>
      </c>
      <c r="Z425" s="402" t="e">
        <f t="shared" si="79"/>
        <v>#VALUE!</v>
      </c>
      <c r="AA425" s="402" t="e">
        <f t="shared" si="80"/>
        <v>#VALUE!</v>
      </c>
      <c r="AB425" s="669" t="e">
        <f t="shared" si="81"/>
        <v>#VALUE!</v>
      </c>
      <c r="AC425" s="403"/>
    </row>
    <row r="426" spans="2:29" s="121" customFormat="1" outlineLevel="1">
      <c r="B426" s="1167"/>
      <c r="C426" s="1168"/>
      <c r="D426" s="1750" t="s">
        <v>290</v>
      </c>
      <c r="E426" s="1751"/>
      <c r="F426" s="1751"/>
      <c r="G426" s="1752"/>
      <c r="H426" s="835"/>
      <c r="I426" s="1327" t="e">
        <f t="shared" si="82"/>
        <v>#DIV/0!</v>
      </c>
      <c r="J426" s="736" t="s">
        <v>365</v>
      </c>
      <c r="K426" s="736" t="s">
        <v>365</v>
      </c>
      <c r="L426" s="1330" t="str">
        <f t="shared" si="83"/>
        <v>Non renseigné</v>
      </c>
      <c r="M426" s="736" t="str">
        <f t="shared" si="84"/>
        <v>-</v>
      </c>
      <c r="N426" s="822" t="e">
        <f t="shared" si="85"/>
        <v>#VALUE!</v>
      </c>
      <c r="O426" s="733" t="e">
        <f t="shared" si="86"/>
        <v>#VALUE!</v>
      </c>
      <c r="P426" s="822" t="e">
        <f t="shared" si="87"/>
        <v>#VALUE!</v>
      </c>
      <c r="Q426" s="823"/>
      <c r="R426" s="942"/>
      <c r="S426" s="402" t="e">
        <f t="shared" si="72"/>
        <v>#VALUE!</v>
      </c>
      <c r="T426" s="402" t="e">
        <f t="shared" si="73"/>
        <v>#VALUE!</v>
      </c>
      <c r="U426" s="402" t="e">
        <f t="shared" si="74"/>
        <v>#VALUE!</v>
      </c>
      <c r="V426" s="402" t="e">
        <f t="shared" si="75"/>
        <v>#VALUE!</v>
      </c>
      <c r="W426" s="402" t="e">
        <f t="shared" si="76"/>
        <v>#VALUE!</v>
      </c>
      <c r="X426" s="402" t="e">
        <f t="shared" si="77"/>
        <v>#VALUE!</v>
      </c>
      <c r="Y426" s="402" t="e">
        <f t="shared" si="78"/>
        <v>#VALUE!</v>
      </c>
      <c r="Z426" s="402" t="e">
        <f t="shared" si="79"/>
        <v>#VALUE!</v>
      </c>
      <c r="AA426" s="402" t="e">
        <f t="shared" si="80"/>
        <v>#VALUE!</v>
      </c>
      <c r="AB426" s="669" t="e">
        <f t="shared" si="81"/>
        <v>#VALUE!</v>
      </c>
      <c r="AC426" s="403"/>
    </row>
    <row r="427" spans="2:29" s="121" customFormat="1" outlineLevel="1">
      <c r="B427" s="1167"/>
      <c r="C427" s="1168"/>
      <c r="D427" s="1750" t="s">
        <v>290</v>
      </c>
      <c r="E427" s="1751"/>
      <c r="F427" s="1751"/>
      <c r="G427" s="1752"/>
      <c r="H427" s="835"/>
      <c r="I427" s="1327" t="e">
        <f t="shared" si="82"/>
        <v>#DIV/0!</v>
      </c>
      <c r="J427" s="736" t="s">
        <v>365</v>
      </c>
      <c r="K427" s="736" t="s">
        <v>365</v>
      </c>
      <c r="L427" s="1330" t="str">
        <f t="shared" si="83"/>
        <v>Non renseigné</v>
      </c>
      <c r="M427" s="736" t="str">
        <f t="shared" si="84"/>
        <v>-</v>
      </c>
      <c r="N427" s="822" t="e">
        <f t="shared" si="85"/>
        <v>#VALUE!</v>
      </c>
      <c r="O427" s="733" t="e">
        <f t="shared" si="86"/>
        <v>#VALUE!</v>
      </c>
      <c r="P427" s="822" t="e">
        <f t="shared" si="87"/>
        <v>#VALUE!</v>
      </c>
      <c r="Q427" s="823"/>
      <c r="R427" s="942"/>
      <c r="S427" s="402" t="e">
        <f t="shared" si="72"/>
        <v>#VALUE!</v>
      </c>
      <c r="T427" s="402" t="e">
        <f t="shared" si="73"/>
        <v>#VALUE!</v>
      </c>
      <c r="U427" s="402" t="e">
        <f t="shared" si="74"/>
        <v>#VALUE!</v>
      </c>
      <c r="V427" s="402" t="e">
        <f t="shared" si="75"/>
        <v>#VALUE!</v>
      </c>
      <c r="W427" s="402" t="e">
        <f t="shared" si="76"/>
        <v>#VALUE!</v>
      </c>
      <c r="X427" s="402" t="e">
        <f t="shared" si="77"/>
        <v>#VALUE!</v>
      </c>
      <c r="Y427" s="402" t="e">
        <f t="shared" si="78"/>
        <v>#VALUE!</v>
      </c>
      <c r="Z427" s="402" t="e">
        <f t="shared" si="79"/>
        <v>#VALUE!</v>
      </c>
      <c r="AA427" s="402" t="e">
        <f t="shared" si="80"/>
        <v>#VALUE!</v>
      </c>
      <c r="AB427" s="669" t="e">
        <f t="shared" si="81"/>
        <v>#VALUE!</v>
      </c>
      <c r="AC427" s="403"/>
    </row>
    <row r="428" spans="2:29" s="121" customFormat="1" outlineLevel="1">
      <c r="B428" s="1167"/>
      <c r="C428" s="1168"/>
      <c r="D428" s="1750" t="s">
        <v>290</v>
      </c>
      <c r="E428" s="1751"/>
      <c r="F428" s="1751"/>
      <c r="G428" s="1752"/>
      <c r="H428" s="835"/>
      <c r="I428" s="1327" t="e">
        <f t="shared" si="82"/>
        <v>#DIV/0!</v>
      </c>
      <c r="J428" s="736" t="s">
        <v>365</v>
      </c>
      <c r="K428" s="736" t="s">
        <v>365</v>
      </c>
      <c r="L428" s="1330" t="str">
        <f t="shared" si="83"/>
        <v>Non renseigné</v>
      </c>
      <c r="M428" s="736" t="str">
        <f t="shared" si="84"/>
        <v>-</v>
      </c>
      <c r="N428" s="822" t="e">
        <f t="shared" si="85"/>
        <v>#VALUE!</v>
      </c>
      <c r="O428" s="733" t="e">
        <f t="shared" si="86"/>
        <v>#VALUE!</v>
      </c>
      <c r="P428" s="822" t="e">
        <f t="shared" si="87"/>
        <v>#VALUE!</v>
      </c>
      <c r="Q428" s="823"/>
      <c r="R428" s="942"/>
      <c r="S428" s="402" t="e">
        <f t="shared" si="72"/>
        <v>#VALUE!</v>
      </c>
      <c r="T428" s="402" t="e">
        <f t="shared" si="73"/>
        <v>#VALUE!</v>
      </c>
      <c r="U428" s="402" t="e">
        <f t="shared" si="74"/>
        <v>#VALUE!</v>
      </c>
      <c r="V428" s="402" t="e">
        <f t="shared" si="75"/>
        <v>#VALUE!</v>
      </c>
      <c r="W428" s="402" t="e">
        <f t="shared" si="76"/>
        <v>#VALUE!</v>
      </c>
      <c r="X428" s="402" t="e">
        <f t="shared" si="77"/>
        <v>#VALUE!</v>
      </c>
      <c r="Y428" s="402" t="e">
        <f t="shared" si="78"/>
        <v>#VALUE!</v>
      </c>
      <c r="Z428" s="402" t="e">
        <f t="shared" si="79"/>
        <v>#VALUE!</v>
      </c>
      <c r="AA428" s="402" t="e">
        <f t="shared" si="80"/>
        <v>#VALUE!</v>
      </c>
      <c r="AB428" s="669" t="e">
        <f t="shared" si="81"/>
        <v>#VALUE!</v>
      </c>
      <c r="AC428" s="403"/>
    </row>
    <row r="429" spans="2:29" s="121" customFormat="1" outlineLevel="1">
      <c r="B429" s="1167"/>
      <c r="C429" s="1168"/>
      <c r="D429" s="1750" t="s">
        <v>290</v>
      </c>
      <c r="E429" s="1751"/>
      <c r="F429" s="1751"/>
      <c r="G429" s="1752"/>
      <c r="H429" s="835"/>
      <c r="I429" s="1327" t="e">
        <f t="shared" si="82"/>
        <v>#DIV/0!</v>
      </c>
      <c r="J429" s="736" t="s">
        <v>365</v>
      </c>
      <c r="K429" s="736" t="s">
        <v>365</v>
      </c>
      <c r="L429" s="1330" t="str">
        <f t="shared" si="83"/>
        <v>Non renseigné</v>
      </c>
      <c r="M429" s="736" t="str">
        <f t="shared" si="84"/>
        <v>-</v>
      </c>
      <c r="N429" s="822" t="e">
        <f t="shared" si="85"/>
        <v>#VALUE!</v>
      </c>
      <c r="O429" s="733" t="e">
        <f t="shared" si="86"/>
        <v>#VALUE!</v>
      </c>
      <c r="P429" s="822" t="e">
        <f t="shared" si="87"/>
        <v>#VALUE!</v>
      </c>
      <c r="Q429" s="823"/>
      <c r="R429" s="942"/>
      <c r="S429" s="402" t="e">
        <f t="shared" si="72"/>
        <v>#VALUE!</v>
      </c>
      <c r="T429" s="402" t="e">
        <f t="shared" si="73"/>
        <v>#VALUE!</v>
      </c>
      <c r="U429" s="402" t="e">
        <f t="shared" si="74"/>
        <v>#VALUE!</v>
      </c>
      <c r="V429" s="402" t="e">
        <f t="shared" si="75"/>
        <v>#VALUE!</v>
      </c>
      <c r="W429" s="402" t="e">
        <f t="shared" si="76"/>
        <v>#VALUE!</v>
      </c>
      <c r="X429" s="402" t="e">
        <f t="shared" si="77"/>
        <v>#VALUE!</v>
      </c>
      <c r="Y429" s="402" t="e">
        <f t="shared" si="78"/>
        <v>#VALUE!</v>
      </c>
      <c r="Z429" s="402" t="e">
        <f t="shared" si="79"/>
        <v>#VALUE!</v>
      </c>
      <c r="AA429" s="402" t="e">
        <f t="shared" si="80"/>
        <v>#VALUE!</v>
      </c>
      <c r="AB429" s="669" t="e">
        <f t="shared" si="81"/>
        <v>#VALUE!</v>
      </c>
      <c r="AC429" s="403"/>
    </row>
    <row r="430" spans="2:29" outlineLevel="1">
      <c r="B430" s="1167"/>
      <c r="C430" s="1168"/>
      <c r="D430" s="1750" t="s">
        <v>290</v>
      </c>
      <c r="E430" s="1751"/>
      <c r="F430" s="1751"/>
      <c r="G430" s="1752"/>
      <c r="H430" s="835"/>
      <c r="I430" s="1327" t="e">
        <f t="shared" si="82"/>
        <v>#DIV/0!</v>
      </c>
      <c r="J430" s="736" t="s">
        <v>365</v>
      </c>
      <c r="K430" s="736" t="s">
        <v>365</v>
      </c>
      <c r="L430" s="1330" t="str">
        <f t="shared" si="83"/>
        <v>Non renseigné</v>
      </c>
      <c r="M430" s="736" t="str">
        <f t="shared" si="84"/>
        <v>-</v>
      </c>
      <c r="N430" s="822" t="e">
        <f t="shared" si="85"/>
        <v>#VALUE!</v>
      </c>
      <c r="O430" s="733" t="e">
        <f t="shared" si="86"/>
        <v>#VALUE!</v>
      </c>
      <c r="P430" s="822" t="e">
        <f t="shared" si="87"/>
        <v>#VALUE!</v>
      </c>
      <c r="Q430" s="823"/>
      <c r="R430" s="942"/>
      <c r="S430" s="402" t="e">
        <f t="shared" si="72"/>
        <v>#VALUE!</v>
      </c>
      <c r="T430" s="402" t="e">
        <f t="shared" si="73"/>
        <v>#VALUE!</v>
      </c>
      <c r="U430" s="402" t="e">
        <f t="shared" si="74"/>
        <v>#VALUE!</v>
      </c>
      <c r="V430" s="402" t="e">
        <f t="shared" si="75"/>
        <v>#VALUE!</v>
      </c>
      <c r="W430" s="402" t="e">
        <f t="shared" si="76"/>
        <v>#VALUE!</v>
      </c>
      <c r="X430" s="402" t="e">
        <f t="shared" si="77"/>
        <v>#VALUE!</v>
      </c>
      <c r="Y430" s="402" t="e">
        <f t="shared" si="78"/>
        <v>#VALUE!</v>
      </c>
      <c r="Z430" s="402" t="e">
        <f t="shared" si="79"/>
        <v>#VALUE!</v>
      </c>
      <c r="AA430" s="402" t="e">
        <f t="shared" si="80"/>
        <v>#VALUE!</v>
      </c>
      <c r="AB430" s="669" t="e">
        <f t="shared" si="81"/>
        <v>#VALUE!</v>
      </c>
    </row>
    <row r="431" spans="2:29" s="121" customFormat="1" outlineLevel="1">
      <c r="B431" s="1167"/>
      <c r="C431" s="1168"/>
      <c r="D431" s="1750" t="s">
        <v>290</v>
      </c>
      <c r="E431" s="1751"/>
      <c r="F431" s="1751"/>
      <c r="G431" s="1752"/>
      <c r="H431" s="835"/>
      <c r="I431" s="1327" t="e">
        <f t="shared" ref="I431:I460" si="88">H431*(1/Q431)</f>
        <v>#DIV/0!</v>
      </c>
      <c r="J431" s="736" t="s">
        <v>365</v>
      </c>
      <c r="K431" s="736" t="s">
        <v>365</v>
      </c>
      <c r="L431" s="1330" t="str">
        <f t="shared" ref="L431:L460" si="89">IF(D431="Bâtiments avec mise en service N+1",J431+1,J431)</f>
        <v>Non renseigné</v>
      </c>
      <c r="M431" s="736" t="str">
        <f t="shared" ref="M431:M460" si="90">VLOOKUP(K431,$AD$14:$AE$27,2,FALSE)</f>
        <v>-</v>
      </c>
      <c r="N431" s="822" t="e">
        <f t="shared" ref="N431:N460" si="91">H431*(M431/12)*(1/Q431)</f>
        <v>#VALUE!</v>
      </c>
      <c r="O431" s="733" t="e">
        <f t="shared" ref="O431:O460" si="92">12-M431</f>
        <v>#VALUE!</v>
      </c>
      <c r="P431" s="822" t="e">
        <f t="shared" ref="P431:P460" si="93">H431*(O431/12)*(1/Q431)</f>
        <v>#VALUE!</v>
      </c>
      <c r="Q431" s="823"/>
      <c r="R431" s="942"/>
      <c r="S431" s="402" t="e">
        <f t="shared" si="72"/>
        <v>#VALUE!</v>
      </c>
      <c r="T431" s="402" t="e">
        <f t="shared" si="73"/>
        <v>#VALUE!</v>
      </c>
      <c r="U431" s="402" t="e">
        <f t="shared" si="74"/>
        <v>#VALUE!</v>
      </c>
      <c r="V431" s="402" t="e">
        <f t="shared" si="75"/>
        <v>#VALUE!</v>
      </c>
      <c r="W431" s="402" t="e">
        <f t="shared" si="76"/>
        <v>#VALUE!</v>
      </c>
      <c r="X431" s="402" t="e">
        <f t="shared" si="77"/>
        <v>#VALUE!</v>
      </c>
      <c r="Y431" s="402" t="e">
        <f t="shared" si="78"/>
        <v>#VALUE!</v>
      </c>
      <c r="Z431" s="402" t="e">
        <f t="shared" si="79"/>
        <v>#VALUE!</v>
      </c>
      <c r="AA431" s="402" t="e">
        <f t="shared" si="80"/>
        <v>#VALUE!</v>
      </c>
      <c r="AB431" s="669" t="e">
        <f t="shared" si="81"/>
        <v>#VALUE!</v>
      </c>
      <c r="AC431" s="403"/>
    </row>
    <row r="432" spans="2:29" s="121" customFormat="1" outlineLevel="1">
      <c r="B432" s="1167"/>
      <c r="C432" s="1168"/>
      <c r="D432" s="1750" t="s">
        <v>290</v>
      </c>
      <c r="E432" s="1751"/>
      <c r="F432" s="1751"/>
      <c r="G432" s="1752"/>
      <c r="H432" s="835"/>
      <c r="I432" s="1327" t="e">
        <f t="shared" si="88"/>
        <v>#DIV/0!</v>
      </c>
      <c r="J432" s="736" t="s">
        <v>365</v>
      </c>
      <c r="K432" s="736" t="s">
        <v>365</v>
      </c>
      <c r="L432" s="1330" t="str">
        <f t="shared" si="89"/>
        <v>Non renseigné</v>
      </c>
      <c r="M432" s="736" t="str">
        <f t="shared" si="90"/>
        <v>-</v>
      </c>
      <c r="N432" s="822" t="e">
        <f t="shared" si="91"/>
        <v>#VALUE!</v>
      </c>
      <c r="O432" s="733" t="e">
        <f t="shared" si="92"/>
        <v>#VALUE!</v>
      </c>
      <c r="P432" s="822" t="e">
        <f t="shared" si="93"/>
        <v>#VALUE!</v>
      </c>
      <c r="Q432" s="823"/>
      <c r="R432" s="942"/>
      <c r="S432" s="402" t="e">
        <f t="shared" si="72"/>
        <v>#VALUE!</v>
      </c>
      <c r="T432" s="402" t="e">
        <f t="shared" si="73"/>
        <v>#VALUE!</v>
      </c>
      <c r="U432" s="402" t="e">
        <f t="shared" si="74"/>
        <v>#VALUE!</v>
      </c>
      <c r="V432" s="402" t="e">
        <f t="shared" si="75"/>
        <v>#VALUE!</v>
      </c>
      <c r="W432" s="402" t="e">
        <f t="shared" si="76"/>
        <v>#VALUE!</v>
      </c>
      <c r="X432" s="402" t="e">
        <f t="shared" si="77"/>
        <v>#VALUE!</v>
      </c>
      <c r="Y432" s="402" t="e">
        <f t="shared" si="78"/>
        <v>#VALUE!</v>
      </c>
      <c r="Z432" s="402" t="e">
        <f t="shared" si="79"/>
        <v>#VALUE!</v>
      </c>
      <c r="AA432" s="402" t="e">
        <f t="shared" si="80"/>
        <v>#VALUE!</v>
      </c>
      <c r="AB432" s="669" t="e">
        <f t="shared" si="81"/>
        <v>#VALUE!</v>
      </c>
      <c r="AC432" s="403"/>
    </row>
    <row r="433" spans="2:29" s="121" customFormat="1" outlineLevel="1">
      <c r="B433" s="1167"/>
      <c r="C433" s="1168"/>
      <c r="D433" s="1750" t="s">
        <v>290</v>
      </c>
      <c r="E433" s="1751"/>
      <c r="F433" s="1751"/>
      <c r="G433" s="1752"/>
      <c r="H433" s="835"/>
      <c r="I433" s="1327" t="e">
        <f t="shared" si="88"/>
        <v>#DIV/0!</v>
      </c>
      <c r="J433" s="736" t="s">
        <v>365</v>
      </c>
      <c r="K433" s="736" t="s">
        <v>365</v>
      </c>
      <c r="L433" s="1330" t="str">
        <f t="shared" si="89"/>
        <v>Non renseigné</v>
      </c>
      <c r="M433" s="736" t="str">
        <f t="shared" si="90"/>
        <v>-</v>
      </c>
      <c r="N433" s="822" t="e">
        <f t="shared" si="91"/>
        <v>#VALUE!</v>
      </c>
      <c r="O433" s="733" t="e">
        <f t="shared" si="92"/>
        <v>#VALUE!</v>
      </c>
      <c r="P433" s="822" t="e">
        <f t="shared" si="93"/>
        <v>#VALUE!</v>
      </c>
      <c r="Q433" s="823"/>
      <c r="R433" s="942"/>
      <c r="S433" s="402" t="e">
        <f t="shared" si="72"/>
        <v>#VALUE!</v>
      </c>
      <c r="T433" s="402" t="e">
        <f t="shared" si="73"/>
        <v>#VALUE!</v>
      </c>
      <c r="U433" s="402" t="e">
        <f t="shared" si="74"/>
        <v>#VALUE!</v>
      </c>
      <c r="V433" s="402" t="e">
        <f t="shared" si="75"/>
        <v>#VALUE!</v>
      </c>
      <c r="W433" s="402" t="e">
        <f t="shared" si="76"/>
        <v>#VALUE!</v>
      </c>
      <c r="X433" s="402" t="e">
        <f t="shared" si="77"/>
        <v>#VALUE!</v>
      </c>
      <c r="Y433" s="402" t="e">
        <f t="shared" si="78"/>
        <v>#VALUE!</v>
      </c>
      <c r="Z433" s="402" t="e">
        <f t="shared" si="79"/>
        <v>#VALUE!</v>
      </c>
      <c r="AA433" s="402" t="e">
        <f t="shared" si="80"/>
        <v>#VALUE!</v>
      </c>
      <c r="AB433" s="669" t="e">
        <f t="shared" si="81"/>
        <v>#VALUE!</v>
      </c>
      <c r="AC433" s="403"/>
    </row>
    <row r="434" spans="2:29" s="121" customFormat="1" outlineLevel="1">
      <c r="B434" s="1167"/>
      <c r="C434" s="1168"/>
      <c r="D434" s="1750" t="s">
        <v>290</v>
      </c>
      <c r="E434" s="1751"/>
      <c r="F434" s="1751"/>
      <c r="G434" s="1752"/>
      <c r="H434" s="835"/>
      <c r="I434" s="1327" t="e">
        <f t="shared" si="88"/>
        <v>#DIV/0!</v>
      </c>
      <c r="J434" s="736" t="s">
        <v>365</v>
      </c>
      <c r="K434" s="736" t="s">
        <v>365</v>
      </c>
      <c r="L434" s="1330" t="str">
        <f t="shared" si="89"/>
        <v>Non renseigné</v>
      </c>
      <c r="M434" s="736" t="str">
        <f t="shared" si="90"/>
        <v>-</v>
      </c>
      <c r="N434" s="822" t="e">
        <f t="shared" si="91"/>
        <v>#VALUE!</v>
      </c>
      <c r="O434" s="733" t="e">
        <f t="shared" si="92"/>
        <v>#VALUE!</v>
      </c>
      <c r="P434" s="822" t="e">
        <f t="shared" si="93"/>
        <v>#VALUE!</v>
      </c>
      <c r="Q434" s="823"/>
      <c r="R434" s="942"/>
      <c r="S434" s="402" t="e">
        <f t="shared" si="72"/>
        <v>#VALUE!</v>
      </c>
      <c r="T434" s="402" t="e">
        <f t="shared" si="73"/>
        <v>#VALUE!</v>
      </c>
      <c r="U434" s="402" t="e">
        <f t="shared" si="74"/>
        <v>#VALUE!</v>
      </c>
      <c r="V434" s="402" t="e">
        <f t="shared" si="75"/>
        <v>#VALUE!</v>
      </c>
      <c r="W434" s="402" t="e">
        <f t="shared" si="76"/>
        <v>#VALUE!</v>
      </c>
      <c r="X434" s="402" t="e">
        <f t="shared" si="77"/>
        <v>#VALUE!</v>
      </c>
      <c r="Y434" s="402" t="e">
        <f t="shared" si="78"/>
        <v>#VALUE!</v>
      </c>
      <c r="Z434" s="402" t="e">
        <f t="shared" si="79"/>
        <v>#VALUE!</v>
      </c>
      <c r="AA434" s="402" t="e">
        <f t="shared" si="80"/>
        <v>#VALUE!</v>
      </c>
      <c r="AB434" s="669" t="e">
        <f t="shared" si="81"/>
        <v>#VALUE!</v>
      </c>
      <c r="AC434" s="403"/>
    </row>
    <row r="435" spans="2:29" s="121" customFormat="1" outlineLevel="1">
      <c r="B435" s="1167"/>
      <c r="C435" s="1168"/>
      <c r="D435" s="1750" t="s">
        <v>290</v>
      </c>
      <c r="E435" s="1751"/>
      <c r="F435" s="1751"/>
      <c r="G435" s="1752"/>
      <c r="H435" s="835"/>
      <c r="I435" s="1327" t="e">
        <f t="shared" si="88"/>
        <v>#DIV/0!</v>
      </c>
      <c r="J435" s="736" t="s">
        <v>365</v>
      </c>
      <c r="K435" s="736" t="s">
        <v>365</v>
      </c>
      <c r="L435" s="1330" t="str">
        <f t="shared" si="89"/>
        <v>Non renseigné</v>
      </c>
      <c r="M435" s="736" t="str">
        <f t="shared" si="90"/>
        <v>-</v>
      </c>
      <c r="N435" s="822" t="e">
        <f t="shared" si="91"/>
        <v>#VALUE!</v>
      </c>
      <c r="O435" s="733" t="e">
        <f t="shared" si="92"/>
        <v>#VALUE!</v>
      </c>
      <c r="P435" s="822" t="e">
        <f t="shared" si="93"/>
        <v>#VALUE!</v>
      </c>
      <c r="Q435" s="823"/>
      <c r="R435" s="942"/>
      <c r="S435" s="402" t="e">
        <f t="shared" si="72"/>
        <v>#VALUE!</v>
      </c>
      <c r="T435" s="402" t="e">
        <f t="shared" si="73"/>
        <v>#VALUE!</v>
      </c>
      <c r="U435" s="402" t="e">
        <f t="shared" si="74"/>
        <v>#VALUE!</v>
      </c>
      <c r="V435" s="402" t="e">
        <f t="shared" si="75"/>
        <v>#VALUE!</v>
      </c>
      <c r="W435" s="402" t="e">
        <f t="shared" si="76"/>
        <v>#VALUE!</v>
      </c>
      <c r="X435" s="402" t="e">
        <f t="shared" si="77"/>
        <v>#VALUE!</v>
      </c>
      <c r="Y435" s="402" t="e">
        <f t="shared" si="78"/>
        <v>#VALUE!</v>
      </c>
      <c r="Z435" s="402" t="e">
        <f t="shared" si="79"/>
        <v>#VALUE!</v>
      </c>
      <c r="AA435" s="402" t="e">
        <f t="shared" si="80"/>
        <v>#VALUE!</v>
      </c>
      <c r="AB435" s="669" t="e">
        <f t="shared" si="81"/>
        <v>#VALUE!</v>
      </c>
      <c r="AC435" s="403"/>
    </row>
    <row r="436" spans="2:29" s="121" customFormat="1" outlineLevel="1">
      <c r="B436" s="1167"/>
      <c r="C436" s="1168"/>
      <c r="D436" s="1750" t="s">
        <v>290</v>
      </c>
      <c r="E436" s="1751"/>
      <c r="F436" s="1751"/>
      <c r="G436" s="1752"/>
      <c r="H436" s="835"/>
      <c r="I436" s="1327" t="e">
        <f t="shared" si="88"/>
        <v>#DIV/0!</v>
      </c>
      <c r="J436" s="736" t="s">
        <v>365</v>
      </c>
      <c r="K436" s="736" t="s">
        <v>365</v>
      </c>
      <c r="L436" s="1330" t="str">
        <f t="shared" si="89"/>
        <v>Non renseigné</v>
      </c>
      <c r="M436" s="736" t="str">
        <f t="shared" si="90"/>
        <v>-</v>
      </c>
      <c r="N436" s="822" t="e">
        <f t="shared" si="91"/>
        <v>#VALUE!</v>
      </c>
      <c r="O436" s="733" t="e">
        <f t="shared" si="92"/>
        <v>#VALUE!</v>
      </c>
      <c r="P436" s="822" t="e">
        <f t="shared" si="93"/>
        <v>#VALUE!</v>
      </c>
      <c r="Q436" s="823"/>
      <c r="R436" s="942"/>
      <c r="S436" s="402" t="e">
        <f t="shared" si="72"/>
        <v>#VALUE!</v>
      </c>
      <c r="T436" s="402" t="e">
        <f t="shared" si="73"/>
        <v>#VALUE!</v>
      </c>
      <c r="U436" s="402" t="e">
        <f t="shared" si="74"/>
        <v>#VALUE!</v>
      </c>
      <c r="V436" s="402" t="e">
        <f t="shared" si="75"/>
        <v>#VALUE!</v>
      </c>
      <c r="W436" s="402" t="e">
        <f t="shared" si="76"/>
        <v>#VALUE!</v>
      </c>
      <c r="X436" s="402" t="e">
        <f t="shared" si="77"/>
        <v>#VALUE!</v>
      </c>
      <c r="Y436" s="402" t="e">
        <f t="shared" si="78"/>
        <v>#VALUE!</v>
      </c>
      <c r="Z436" s="402" t="e">
        <f t="shared" si="79"/>
        <v>#VALUE!</v>
      </c>
      <c r="AA436" s="402" t="e">
        <f t="shared" si="80"/>
        <v>#VALUE!</v>
      </c>
      <c r="AB436" s="669" t="e">
        <f t="shared" si="81"/>
        <v>#VALUE!</v>
      </c>
      <c r="AC436" s="403"/>
    </row>
    <row r="437" spans="2:29" s="121" customFormat="1" outlineLevel="1">
      <c r="B437" s="1167"/>
      <c r="C437" s="1168"/>
      <c r="D437" s="1750" t="s">
        <v>290</v>
      </c>
      <c r="E437" s="1751"/>
      <c r="F437" s="1751"/>
      <c r="G437" s="1752"/>
      <c r="H437" s="835"/>
      <c r="I437" s="1327" t="e">
        <f t="shared" si="88"/>
        <v>#DIV/0!</v>
      </c>
      <c r="J437" s="736" t="s">
        <v>365</v>
      </c>
      <c r="K437" s="736" t="s">
        <v>365</v>
      </c>
      <c r="L437" s="1330" t="str">
        <f t="shared" si="89"/>
        <v>Non renseigné</v>
      </c>
      <c r="M437" s="736" t="str">
        <f t="shared" si="90"/>
        <v>-</v>
      </c>
      <c r="N437" s="822" t="e">
        <f t="shared" si="91"/>
        <v>#VALUE!</v>
      </c>
      <c r="O437" s="733" t="e">
        <f t="shared" si="92"/>
        <v>#VALUE!</v>
      </c>
      <c r="P437" s="822" t="e">
        <f t="shared" si="93"/>
        <v>#VALUE!</v>
      </c>
      <c r="Q437" s="823"/>
      <c r="R437" s="942"/>
      <c r="S437" s="402" t="e">
        <f t="shared" si="72"/>
        <v>#VALUE!</v>
      </c>
      <c r="T437" s="402" t="e">
        <f t="shared" si="73"/>
        <v>#VALUE!</v>
      </c>
      <c r="U437" s="402" t="e">
        <f t="shared" si="74"/>
        <v>#VALUE!</v>
      </c>
      <c r="V437" s="402" t="e">
        <f t="shared" si="75"/>
        <v>#VALUE!</v>
      </c>
      <c r="W437" s="402" t="e">
        <f t="shared" si="76"/>
        <v>#VALUE!</v>
      </c>
      <c r="X437" s="402" t="e">
        <f t="shared" si="77"/>
        <v>#VALUE!</v>
      </c>
      <c r="Y437" s="402" t="e">
        <f t="shared" si="78"/>
        <v>#VALUE!</v>
      </c>
      <c r="Z437" s="402" t="e">
        <f t="shared" si="79"/>
        <v>#VALUE!</v>
      </c>
      <c r="AA437" s="402" t="e">
        <f t="shared" si="80"/>
        <v>#VALUE!</v>
      </c>
      <c r="AB437" s="669" t="e">
        <f t="shared" si="81"/>
        <v>#VALUE!</v>
      </c>
      <c r="AC437" s="403"/>
    </row>
    <row r="438" spans="2:29" s="121" customFormat="1" outlineLevel="1">
      <c r="B438" s="1167"/>
      <c r="C438" s="1168"/>
      <c r="D438" s="1750" t="s">
        <v>290</v>
      </c>
      <c r="E438" s="1751"/>
      <c r="F438" s="1751"/>
      <c r="G438" s="1752"/>
      <c r="H438" s="835"/>
      <c r="I438" s="1327" t="e">
        <f t="shared" si="88"/>
        <v>#DIV/0!</v>
      </c>
      <c r="J438" s="736" t="s">
        <v>365</v>
      </c>
      <c r="K438" s="736" t="s">
        <v>365</v>
      </c>
      <c r="L438" s="1330" t="str">
        <f t="shared" si="89"/>
        <v>Non renseigné</v>
      </c>
      <c r="M438" s="736" t="str">
        <f t="shared" si="90"/>
        <v>-</v>
      </c>
      <c r="N438" s="822" t="e">
        <f t="shared" si="91"/>
        <v>#VALUE!</v>
      </c>
      <c r="O438" s="733" t="e">
        <f t="shared" si="92"/>
        <v>#VALUE!</v>
      </c>
      <c r="P438" s="822" t="e">
        <f t="shared" si="93"/>
        <v>#VALUE!</v>
      </c>
      <c r="Q438" s="823"/>
      <c r="R438" s="942"/>
      <c r="S438" s="402" t="e">
        <f t="shared" si="72"/>
        <v>#VALUE!</v>
      </c>
      <c r="T438" s="402" t="e">
        <f t="shared" si="73"/>
        <v>#VALUE!</v>
      </c>
      <c r="U438" s="402" t="e">
        <f t="shared" si="74"/>
        <v>#VALUE!</v>
      </c>
      <c r="V438" s="402" t="e">
        <f t="shared" si="75"/>
        <v>#VALUE!</v>
      </c>
      <c r="W438" s="402" t="e">
        <f t="shared" si="76"/>
        <v>#VALUE!</v>
      </c>
      <c r="X438" s="402" t="e">
        <f t="shared" si="77"/>
        <v>#VALUE!</v>
      </c>
      <c r="Y438" s="402" t="e">
        <f t="shared" si="78"/>
        <v>#VALUE!</v>
      </c>
      <c r="Z438" s="402" t="e">
        <f t="shared" si="79"/>
        <v>#VALUE!</v>
      </c>
      <c r="AA438" s="402" t="e">
        <f t="shared" si="80"/>
        <v>#VALUE!</v>
      </c>
      <c r="AB438" s="669" t="e">
        <f t="shared" si="81"/>
        <v>#VALUE!</v>
      </c>
      <c r="AC438" s="403"/>
    </row>
    <row r="439" spans="2:29" s="121" customFormat="1" outlineLevel="1">
      <c r="B439" s="1167"/>
      <c r="C439" s="1168"/>
      <c r="D439" s="1750" t="s">
        <v>290</v>
      </c>
      <c r="E439" s="1751"/>
      <c r="F439" s="1751"/>
      <c r="G439" s="1752"/>
      <c r="H439" s="835"/>
      <c r="I439" s="1327" t="e">
        <f t="shared" si="88"/>
        <v>#DIV/0!</v>
      </c>
      <c r="J439" s="736" t="s">
        <v>365</v>
      </c>
      <c r="K439" s="736" t="s">
        <v>365</v>
      </c>
      <c r="L439" s="1330" t="str">
        <f t="shared" si="89"/>
        <v>Non renseigné</v>
      </c>
      <c r="M439" s="736" t="str">
        <f t="shared" si="90"/>
        <v>-</v>
      </c>
      <c r="N439" s="822" t="e">
        <f t="shared" si="91"/>
        <v>#VALUE!</v>
      </c>
      <c r="O439" s="733" t="e">
        <f t="shared" si="92"/>
        <v>#VALUE!</v>
      </c>
      <c r="P439" s="822" t="e">
        <f t="shared" si="93"/>
        <v>#VALUE!</v>
      </c>
      <c r="Q439" s="823"/>
      <c r="R439" s="942"/>
      <c r="S439" s="402" t="e">
        <f t="shared" si="72"/>
        <v>#VALUE!</v>
      </c>
      <c r="T439" s="402" t="e">
        <f t="shared" si="73"/>
        <v>#VALUE!</v>
      </c>
      <c r="U439" s="402" t="e">
        <f t="shared" si="74"/>
        <v>#VALUE!</v>
      </c>
      <c r="V439" s="402" t="e">
        <f t="shared" si="75"/>
        <v>#VALUE!</v>
      </c>
      <c r="W439" s="402" t="e">
        <f t="shared" si="76"/>
        <v>#VALUE!</v>
      </c>
      <c r="X439" s="402" t="e">
        <f t="shared" si="77"/>
        <v>#VALUE!</v>
      </c>
      <c r="Y439" s="402" t="e">
        <f t="shared" si="78"/>
        <v>#VALUE!</v>
      </c>
      <c r="Z439" s="402" t="e">
        <f t="shared" si="79"/>
        <v>#VALUE!</v>
      </c>
      <c r="AA439" s="402" t="e">
        <f t="shared" si="80"/>
        <v>#VALUE!</v>
      </c>
      <c r="AB439" s="669" t="e">
        <f t="shared" si="81"/>
        <v>#VALUE!</v>
      </c>
      <c r="AC439" s="403"/>
    </row>
    <row r="440" spans="2:29" outlineLevel="1">
      <c r="B440" s="1167"/>
      <c r="C440" s="1168"/>
      <c r="D440" s="1750" t="s">
        <v>290</v>
      </c>
      <c r="E440" s="1751"/>
      <c r="F440" s="1751"/>
      <c r="G440" s="1752"/>
      <c r="H440" s="835"/>
      <c r="I440" s="1327" t="e">
        <f t="shared" si="88"/>
        <v>#DIV/0!</v>
      </c>
      <c r="J440" s="736" t="s">
        <v>365</v>
      </c>
      <c r="K440" s="736" t="s">
        <v>365</v>
      </c>
      <c r="L440" s="1330" t="str">
        <f t="shared" si="89"/>
        <v>Non renseigné</v>
      </c>
      <c r="M440" s="736" t="str">
        <f t="shared" si="90"/>
        <v>-</v>
      </c>
      <c r="N440" s="822" t="e">
        <f t="shared" si="91"/>
        <v>#VALUE!</v>
      </c>
      <c r="O440" s="733" t="e">
        <f t="shared" si="92"/>
        <v>#VALUE!</v>
      </c>
      <c r="P440" s="822" t="e">
        <f t="shared" si="93"/>
        <v>#VALUE!</v>
      </c>
      <c r="Q440" s="823"/>
      <c r="R440" s="942"/>
      <c r="S440" s="402" t="e">
        <f t="shared" si="72"/>
        <v>#VALUE!</v>
      </c>
      <c r="T440" s="402" t="e">
        <f t="shared" si="73"/>
        <v>#VALUE!</v>
      </c>
      <c r="U440" s="402" t="e">
        <f t="shared" si="74"/>
        <v>#VALUE!</v>
      </c>
      <c r="V440" s="402" t="e">
        <f t="shared" si="75"/>
        <v>#VALUE!</v>
      </c>
      <c r="W440" s="402" t="e">
        <f t="shared" si="76"/>
        <v>#VALUE!</v>
      </c>
      <c r="X440" s="402" t="e">
        <f t="shared" si="77"/>
        <v>#VALUE!</v>
      </c>
      <c r="Y440" s="402" t="e">
        <f t="shared" si="78"/>
        <v>#VALUE!</v>
      </c>
      <c r="Z440" s="402" t="e">
        <f t="shared" si="79"/>
        <v>#VALUE!</v>
      </c>
      <c r="AA440" s="402" t="e">
        <f t="shared" si="80"/>
        <v>#VALUE!</v>
      </c>
      <c r="AB440" s="669" t="e">
        <f t="shared" si="81"/>
        <v>#VALUE!</v>
      </c>
    </row>
    <row r="441" spans="2:29" s="121" customFormat="1" outlineLevel="1">
      <c r="B441" s="1167"/>
      <c r="C441" s="1168"/>
      <c r="D441" s="1750" t="s">
        <v>290</v>
      </c>
      <c r="E441" s="1751"/>
      <c r="F441" s="1751"/>
      <c r="G441" s="1752"/>
      <c r="H441" s="835"/>
      <c r="I441" s="1327" t="e">
        <f t="shared" si="88"/>
        <v>#DIV/0!</v>
      </c>
      <c r="J441" s="736" t="s">
        <v>365</v>
      </c>
      <c r="K441" s="736" t="s">
        <v>365</v>
      </c>
      <c r="L441" s="1330" t="str">
        <f t="shared" si="89"/>
        <v>Non renseigné</v>
      </c>
      <c r="M441" s="736" t="str">
        <f t="shared" si="90"/>
        <v>-</v>
      </c>
      <c r="N441" s="822" t="e">
        <f t="shared" si="91"/>
        <v>#VALUE!</v>
      </c>
      <c r="O441" s="733" t="e">
        <f t="shared" si="92"/>
        <v>#VALUE!</v>
      </c>
      <c r="P441" s="822" t="e">
        <f t="shared" si="93"/>
        <v>#VALUE!</v>
      </c>
      <c r="Q441" s="823"/>
      <c r="R441" s="942"/>
      <c r="S441" s="402" t="e">
        <f t="shared" si="72"/>
        <v>#VALUE!</v>
      </c>
      <c r="T441" s="402" t="e">
        <f t="shared" si="73"/>
        <v>#VALUE!</v>
      </c>
      <c r="U441" s="402" t="e">
        <f t="shared" si="74"/>
        <v>#VALUE!</v>
      </c>
      <c r="V441" s="402" t="e">
        <f t="shared" si="75"/>
        <v>#VALUE!</v>
      </c>
      <c r="W441" s="402" t="e">
        <f t="shared" si="76"/>
        <v>#VALUE!</v>
      </c>
      <c r="X441" s="402" t="e">
        <f t="shared" si="77"/>
        <v>#VALUE!</v>
      </c>
      <c r="Y441" s="402" t="e">
        <f t="shared" si="78"/>
        <v>#VALUE!</v>
      </c>
      <c r="Z441" s="402" t="e">
        <f t="shared" si="79"/>
        <v>#VALUE!</v>
      </c>
      <c r="AA441" s="402" t="e">
        <f t="shared" si="80"/>
        <v>#VALUE!</v>
      </c>
      <c r="AB441" s="669" t="e">
        <f t="shared" si="81"/>
        <v>#VALUE!</v>
      </c>
      <c r="AC441" s="403"/>
    </row>
    <row r="442" spans="2:29" s="121" customFormat="1" outlineLevel="1">
      <c r="B442" s="1167"/>
      <c r="C442" s="1168"/>
      <c r="D442" s="1750" t="s">
        <v>290</v>
      </c>
      <c r="E442" s="1751"/>
      <c r="F442" s="1751"/>
      <c r="G442" s="1752"/>
      <c r="H442" s="835"/>
      <c r="I442" s="1327" t="e">
        <f t="shared" si="88"/>
        <v>#DIV/0!</v>
      </c>
      <c r="J442" s="736" t="s">
        <v>365</v>
      </c>
      <c r="K442" s="736" t="s">
        <v>365</v>
      </c>
      <c r="L442" s="1330" t="str">
        <f t="shared" si="89"/>
        <v>Non renseigné</v>
      </c>
      <c r="M442" s="736" t="str">
        <f t="shared" si="90"/>
        <v>-</v>
      </c>
      <c r="N442" s="822" t="e">
        <f t="shared" si="91"/>
        <v>#VALUE!</v>
      </c>
      <c r="O442" s="733" t="e">
        <f t="shared" si="92"/>
        <v>#VALUE!</v>
      </c>
      <c r="P442" s="822" t="e">
        <f t="shared" si="93"/>
        <v>#VALUE!</v>
      </c>
      <c r="Q442" s="823"/>
      <c r="R442" s="942"/>
      <c r="S442" s="402" t="e">
        <f t="shared" si="72"/>
        <v>#VALUE!</v>
      </c>
      <c r="T442" s="402" t="e">
        <f t="shared" si="73"/>
        <v>#VALUE!</v>
      </c>
      <c r="U442" s="402" t="e">
        <f t="shared" si="74"/>
        <v>#VALUE!</v>
      </c>
      <c r="V442" s="402" t="e">
        <f t="shared" si="75"/>
        <v>#VALUE!</v>
      </c>
      <c r="W442" s="402" t="e">
        <f t="shared" si="76"/>
        <v>#VALUE!</v>
      </c>
      <c r="X442" s="402" t="e">
        <f t="shared" si="77"/>
        <v>#VALUE!</v>
      </c>
      <c r="Y442" s="402" t="e">
        <f t="shared" si="78"/>
        <v>#VALUE!</v>
      </c>
      <c r="Z442" s="402" t="e">
        <f t="shared" si="79"/>
        <v>#VALUE!</v>
      </c>
      <c r="AA442" s="402" t="e">
        <f t="shared" si="80"/>
        <v>#VALUE!</v>
      </c>
      <c r="AB442" s="669" t="e">
        <f t="shared" si="81"/>
        <v>#VALUE!</v>
      </c>
      <c r="AC442" s="403"/>
    </row>
    <row r="443" spans="2:29" s="121" customFormat="1" outlineLevel="1">
      <c r="B443" s="1167"/>
      <c r="C443" s="1168"/>
      <c r="D443" s="1750" t="s">
        <v>290</v>
      </c>
      <c r="E443" s="1751"/>
      <c r="F443" s="1751"/>
      <c r="G443" s="1752"/>
      <c r="H443" s="835"/>
      <c r="I443" s="1327" t="e">
        <f t="shared" si="88"/>
        <v>#DIV/0!</v>
      </c>
      <c r="J443" s="736" t="s">
        <v>365</v>
      </c>
      <c r="K443" s="736" t="s">
        <v>365</v>
      </c>
      <c r="L443" s="1330" t="str">
        <f t="shared" si="89"/>
        <v>Non renseigné</v>
      </c>
      <c r="M443" s="736" t="str">
        <f t="shared" si="90"/>
        <v>-</v>
      </c>
      <c r="N443" s="822" t="e">
        <f t="shared" si="91"/>
        <v>#VALUE!</v>
      </c>
      <c r="O443" s="733" t="e">
        <f t="shared" si="92"/>
        <v>#VALUE!</v>
      </c>
      <c r="P443" s="822" t="e">
        <f t="shared" si="93"/>
        <v>#VALUE!</v>
      </c>
      <c r="Q443" s="823"/>
      <c r="R443" s="942"/>
      <c r="S443" s="402" t="e">
        <f t="shared" si="72"/>
        <v>#VALUE!</v>
      </c>
      <c r="T443" s="402" t="e">
        <f t="shared" si="73"/>
        <v>#VALUE!</v>
      </c>
      <c r="U443" s="402" t="e">
        <f t="shared" si="74"/>
        <v>#VALUE!</v>
      </c>
      <c r="V443" s="402" t="e">
        <f t="shared" si="75"/>
        <v>#VALUE!</v>
      </c>
      <c r="W443" s="402" t="e">
        <f t="shared" si="76"/>
        <v>#VALUE!</v>
      </c>
      <c r="X443" s="402" t="e">
        <f t="shared" si="77"/>
        <v>#VALUE!</v>
      </c>
      <c r="Y443" s="402" t="e">
        <f t="shared" si="78"/>
        <v>#VALUE!</v>
      </c>
      <c r="Z443" s="402" t="e">
        <f t="shared" si="79"/>
        <v>#VALUE!</v>
      </c>
      <c r="AA443" s="402" t="e">
        <f t="shared" si="80"/>
        <v>#VALUE!</v>
      </c>
      <c r="AB443" s="669" t="e">
        <f t="shared" si="81"/>
        <v>#VALUE!</v>
      </c>
      <c r="AC443" s="403"/>
    </row>
    <row r="444" spans="2:29" s="121" customFormat="1" outlineLevel="1">
      <c r="B444" s="1167"/>
      <c r="C444" s="1168"/>
      <c r="D444" s="1750" t="s">
        <v>290</v>
      </c>
      <c r="E444" s="1751"/>
      <c r="F444" s="1751"/>
      <c r="G444" s="1752"/>
      <c r="H444" s="835"/>
      <c r="I444" s="1327" t="e">
        <f t="shared" si="88"/>
        <v>#DIV/0!</v>
      </c>
      <c r="J444" s="736" t="s">
        <v>365</v>
      </c>
      <c r="K444" s="736" t="s">
        <v>365</v>
      </c>
      <c r="L444" s="1330" t="str">
        <f t="shared" si="89"/>
        <v>Non renseigné</v>
      </c>
      <c r="M444" s="736" t="str">
        <f t="shared" si="90"/>
        <v>-</v>
      </c>
      <c r="N444" s="822" t="e">
        <f t="shared" si="91"/>
        <v>#VALUE!</v>
      </c>
      <c r="O444" s="733" t="e">
        <f t="shared" si="92"/>
        <v>#VALUE!</v>
      </c>
      <c r="P444" s="822" t="e">
        <f t="shared" si="93"/>
        <v>#VALUE!</v>
      </c>
      <c r="Q444" s="823"/>
      <c r="R444" s="942"/>
      <c r="S444" s="402" t="e">
        <f t="shared" si="72"/>
        <v>#VALUE!</v>
      </c>
      <c r="T444" s="402" t="e">
        <f t="shared" si="73"/>
        <v>#VALUE!</v>
      </c>
      <c r="U444" s="402" t="e">
        <f t="shared" si="74"/>
        <v>#VALUE!</v>
      </c>
      <c r="V444" s="402" t="e">
        <f t="shared" si="75"/>
        <v>#VALUE!</v>
      </c>
      <c r="W444" s="402" t="e">
        <f t="shared" si="76"/>
        <v>#VALUE!</v>
      </c>
      <c r="X444" s="402" t="e">
        <f t="shared" si="77"/>
        <v>#VALUE!</v>
      </c>
      <c r="Y444" s="402" t="e">
        <f t="shared" si="78"/>
        <v>#VALUE!</v>
      </c>
      <c r="Z444" s="402" t="e">
        <f t="shared" si="79"/>
        <v>#VALUE!</v>
      </c>
      <c r="AA444" s="402" t="e">
        <f t="shared" si="80"/>
        <v>#VALUE!</v>
      </c>
      <c r="AB444" s="669" t="e">
        <f t="shared" si="81"/>
        <v>#VALUE!</v>
      </c>
      <c r="AC444" s="403"/>
    </row>
    <row r="445" spans="2:29" s="121" customFormat="1" outlineLevel="1">
      <c r="B445" s="1167"/>
      <c r="C445" s="1168"/>
      <c r="D445" s="1750" t="s">
        <v>290</v>
      </c>
      <c r="E445" s="1751"/>
      <c r="F445" s="1751"/>
      <c r="G445" s="1752"/>
      <c r="H445" s="835"/>
      <c r="I445" s="1327" t="e">
        <f t="shared" si="88"/>
        <v>#DIV/0!</v>
      </c>
      <c r="J445" s="736" t="s">
        <v>365</v>
      </c>
      <c r="K445" s="736" t="s">
        <v>365</v>
      </c>
      <c r="L445" s="1330" t="str">
        <f t="shared" si="89"/>
        <v>Non renseigné</v>
      </c>
      <c r="M445" s="736" t="str">
        <f t="shared" si="90"/>
        <v>-</v>
      </c>
      <c r="N445" s="822" t="e">
        <f t="shared" si="91"/>
        <v>#VALUE!</v>
      </c>
      <c r="O445" s="733" t="e">
        <f t="shared" si="92"/>
        <v>#VALUE!</v>
      </c>
      <c r="P445" s="822" t="e">
        <f t="shared" si="93"/>
        <v>#VALUE!</v>
      </c>
      <c r="Q445" s="823"/>
      <c r="R445" s="942"/>
      <c r="S445" s="402" t="e">
        <f t="shared" si="72"/>
        <v>#VALUE!</v>
      </c>
      <c r="T445" s="402" t="e">
        <f t="shared" si="73"/>
        <v>#VALUE!</v>
      </c>
      <c r="U445" s="402" t="e">
        <f t="shared" si="74"/>
        <v>#VALUE!</v>
      </c>
      <c r="V445" s="402" t="e">
        <f t="shared" si="75"/>
        <v>#VALUE!</v>
      </c>
      <c r="W445" s="402" t="e">
        <f t="shared" si="76"/>
        <v>#VALUE!</v>
      </c>
      <c r="X445" s="402" t="e">
        <f t="shared" si="77"/>
        <v>#VALUE!</v>
      </c>
      <c r="Y445" s="402" t="e">
        <f t="shared" si="78"/>
        <v>#VALUE!</v>
      </c>
      <c r="Z445" s="402" t="e">
        <f t="shared" si="79"/>
        <v>#VALUE!</v>
      </c>
      <c r="AA445" s="402" t="e">
        <f t="shared" si="80"/>
        <v>#VALUE!</v>
      </c>
      <c r="AB445" s="669" t="e">
        <f t="shared" si="81"/>
        <v>#VALUE!</v>
      </c>
      <c r="AC445" s="403"/>
    </row>
    <row r="446" spans="2:29" s="121" customFormat="1" outlineLevel="1">
      <c r="B446" s="1167"/>
      <c r="C446" s="1168"/>
      <c r="D446" s="1750" t="s">
        <v>290</v>
      </c>
      <c r="E446" s="1751"/>
      <c r="F446" s="1751"/>
      <c r="G446" s="1752"/>
      <c r="H446" s="835"/>
      <c r="I446" s="1327" t="e">
        <f t="shared" si="88"/>
        <v>#DIV/0!</v>
      </c>
      <c r="J446" s="736" t="s">
        <v>365</v>
      </c>
      <c r="K446" s="736" t="s">
        <v>365</v>
      </c>
      <c r="L446" s="1330" t="str">
        <f t="shared" si="89"/>
        <v>Non renseigné</v>
      </c>
      <c r="M446" s="736" t="str">
        <f t="shared" si="90"/>
        <v>-</v>
      </c>
      <c r="N446" s="822" t="e">
        <f t="shared" si="91"/>
        <v>#VALUE!</v>
      </c>
      <c r="O446" s="733" t="e">
        <f t="shared" si="92"/>
        <v>#VALUE!</v>
      </c>
      <c r="P446" s="822" t="e">
        <f t="shared" si="93"/>
        <v>#VALUE!</v>
      </c>
      <c r="Q446" s="823"/>
      <c r="R446" s="942"/>
      <c r="S446" s="402" t="e">
        <f t="shared" si="72"/>
        <v>#VALUE!</v>
      </c>
      <c r="T446" s="402" t="e">
        <f t="shared" si="73"/>
        <v>#VALUE!</v>
      </c>
      <c r="U446" s="402" t="e">
        <f t="shared" si="74"/>
        <v>#VALUE!</v>
      </c>
      <c r="V446" s="402" t="e">
        <f t="shared" si="75"/>
        <v>#VALUE!</v>
      </c>
      <c r="W446" s="402" t="e">
        <f t="shared" si="76"/>
        <v>#VALUE!</v>
      </c>
      <c r="X446" s="402" t="e">
        <f t="shared" si="77"/>
        <v>#VALUE!</v>
      </c>
      <c r="Y446" s="402" t="e">
        <f t="shared" si="78"/>
        <v>#VALUE!</v>
      </c>
      <c r="Z446" s="402" t="e">
        <f t="shared" si="79"/>
        <v>#VALUE!</v>
      </c>
      <c r="AA446" s="402" t="e">
        <f t="shared" si="80"/>
        <v>#VALUE!</v>
      </c>
      <c r="AB446" s="669" t="e">
        <f t="shared" si="81"/>
        <v>#VALUE!</v>
      </c>
      <c r="AC446" s="403"/>
    </row>
    <row r="447" spans="2:29" s="121" customFormat="1" outlineLevel="1">
      <c r="B447" s="1167"/>
      <c r="C447" s="1168"/>
      <c r="D447" s="1750" t="s">
        <v>290</v>
      </c>
      <c r="E447" s="1751"/>
      <c r="F447" s="1751"/>
      <c r="G447" s="1752"/>
      <c r="H447" s="835"/>
      <c r="I447" s="1327" t="e">
        <f t="shared" si="88"/>
        <v>#DIV/0!</v>
      </c>
      <c r="J447" s="736" t="s">
        <v>365</v>
      </c>
      <c r="K447" s="736" t="s">
        <v>365</v>
      </c>
      <c r="L447" s="1330" t="str">
        <f t="shared" si="89"/>
        <v>Non renseigné</v>
      </c>
      <c r="M447" s="736" t="str">
        <f t="shared" si="90"/>
        <v>-</v>
      </c>
      <c r="N447" s="822" t="e">
        <f t="shared" si="91"/>
        <v>#VALUE!</v>
      </c>
      <c r="O447" s="733" t="e">
        <f t="shared" si="92"/>
        <v>#VALUE!</v>
      </c>
      <c r="P447" s="822" t="e">
        <f t="shared" si="93"/>
        <v>#VALUE!</v>
      </c>
      <c r="Q447" s="823"/>
      <c r="R447" s="942"/>
      <c r="S447" s="402" t="e">
        <f t="shared" si="72"/>
        <v>#VALUE!</v>
      </c>
      <c r="T447" s="402" t="e">
        <f t="shared" si="73"/>
        <v>#VALUE!</v>
      </c>
      <c r="U447" s="402" t="e">
        <f t="shared" si="74"/>
        <v>#VALUE!</v>
      </c>
      <c r="V447" s="402" t="e">
        <f t="shared" si="75"/>
        <v>#VALUE!</v>
      </c>
      <c r="W447" s="402" t="e">
        <f t="shared" si="76"/>
        <v>#VALUE!</v>
      </c>
      <c r="X447" s="402" t="e">
        <f t="shared" si="77"/>
        <v>#VALUE!</v>
      </c>
      <c r="Y447" s="402" t="e">
        <f t="shared" si="78"/>
        <v>#VALUE!</v>
      </c>
      <c r="Z447" s="402" t="e">
        <f t="shared" si="79"/>
        <v>#VALUE!</v>
      </c>
      <c r="AA447" s="402" t="e">
        <f t="shared" si="80"/>
        <v>#VALUE!</v>
      </c>
      <c r="AB447" s="669" t="e">
        <f t="shared" si="81"/>
        <v>#VALUE!</v>
      </c>
      <c r="AC447" s="403"/>
    </row>
    <row r="448" spans="2:29" s="121" customFormat="1" outlineLevel="1">
      <c r="B448" s="1167"/>
      <c r="C448" s="1168"/>
      <c r="D448" s="1750" t="s">
        <v>290</v>
      </c>
      <c r="E448" s="1751"/>
      <c r="F448" s="1751"/>
      <c r="G448" s="1752"/>
      <c r="H448" s="835"/>
      <c r="I448" s="1327" t="e">
        <f t="shared" si="88"/>
        <v>#DIV/0!</v>
      </c>
      <c r="J448" s="736" t="s">
        <v>365</v>
      </c>
      <c r="K448" s="736" t="s">
        <v>365</v>
      </c>
      <c r="L448" s="1330" t="str">
        <f t="shared" si="89"/>
        <v>Non renseigné</v>
      </c>
      <c r="M448" s="736" t="str">
        <f t="shared" si="90"/>
        <v>-</v>
      </c>
      <c r="N448" s="822" t="e">
        <f t="shared" si="91"/>
        <v>#VALUE!</v>
      </c>
      <c r="O448" s="733" t="e">
        <f t="shared" si="92"/>
        <v>#VALUE!</v>
      </c>
      <c r="P448" s="822" t="e">
        <f t="shared" si="93"/>
        <v>#VALUE!</v>
      </c>
      <c r="Q448" s="823"/>
      <c r="R448" s="942"/>
      <c r="S448" s="402" t="e">
        <f t="shared" si="72"/>
        <v>#VALUE!</v>
      </c>
      <c r="T448" s="402" t="e">
        <f t="shared" si="73"/>
        <v>#VALUE!</v>
      </c>
      <c r="U448" s="402" t="e">
        <f t="shared" si="74"/>
        <v>#VALUE!</v>
      </c>
      <c r="V448" s="402" t="e">
        <f t="shared" si="75"/>
        <v>#VALUE!</v>
      </c>
      <c r="W448" s="402" t="e">
        <f t="shared" si="76"/>
        <v>#VALUE!</v>
      </c>
      <c r="X448" s="402" t="e">
        <f t="shared" si="77"/>
        <v>#VALUE!</v>
      </c>
      <c r="Y448" s="402" t="e">
        <f t="shared" si="78"/>
        <v>#VALUE!</v>
      </c>
      <c r="Z448" s="402" t="e">
        <f t="shared" si="79"/>
        <v>#VALUE!</v>
      </c>
      <c r="AA448" s="402" t="e">
        <f t="shared" si="80"/>
        <v>#VALUE!</v>
      </c>
      <c r="AB448" s="669" t="e">
        <f t="shared" si="81"/>
        <v>#VALUE!</v>
      </c>
      <c r="AC448" s="403"/>
    </row>
    <row r="449" spans="2:29" s="121" customFormat="1" outlineLevel="1">
      <c r="B449" s="1167"/>
      <c r="C449" s="1168"/>
      <c r="D449" s="1750" t="s">
        <v>290</v>
      </c>
      <c r="E449" s="1751"/>
      <c r="F449" s="1751"/>
      <c r="G449" s="1752"/>
      <c r="H449" s="835"/>
      <c r="I449" s="1327" t="e">
        <f t="shared" si="88"/>
        <v>#DIV/0!</v>
      </c>
      <c r="J449" s="736" t="s">
        <v>365</v>
      </c>
      <c r="K449" s="736" t="s">
        <v>365</v>
      </c>
      <c r="L449" s="1330" t="str">
        <f t="shared" si="89"/>
        <v>Non renseigné</v>
      </c>
      <c r="M449" s="736" t="str">
        <f t="shared" si="90"/>
        <v>-</v>
      </c>
      <c r="N449" s="822" t="e">
        <f t="shared" si="91"/>
        <v>#VALUE!</v>
      </c>
      <c r="O449" s="733" t="e">
        <f t="shared" si="92"/>
        <v>#VALUE!</v>
      </c>
      <c r="P449" s="822" t="e">
        <f t="shared" si="93"/>
        <v>#VALUE!</v>
      </c>
      <c r="Q449" s="823"/>
      <c r="R449" s="942"/>
      <c r="S449" s="402" t="e">
        <f t="shared" si="72"/>
        <v>#VALUE!</v>
      </c>
      <c r="T449" s="402" t="e">
        <f t="shared" si="73"/>
        <v>#VALUE!</v>
      </c>
      <c r="U449" s="402" t="e">
        <f t="shared" si="74"/>
        <v>#VALUE!</v>
      </c>
      <c r="V449" s="402" t="e">
        <f t="shared" si="75"/>
        <v>#VALUE!</v>
      </c>
      <c r="W449" s="402" t="e">
        <f t="shared" si="76"/>
        <v>#VALUE!</v>
      </c>
      <c r="X449" s="402" t="e">
        <f t="shared" si="77"/>
        <v>#VALUE!</v>
      </c>
      <c r="Y449" s="402" t="e">
        <f t="shared" si="78"/>
        <v>#VALUE!</v>
      </c>
      <c r="Z449" s="402" t="e">
        <f t="shared" si="79"/>
        <v>#VALUE!</v>
      </c>
      <c r="AA449" s="402" t="e">
        <f t="shared" si="80"/>
        <v>#VALUE!</v>
      </c>
      <c r="AB449" s="669" t="e">
        <f t="shared" si="81"/>
        <v>#VALUE!</v>
      </c>
      <c r="AC449" s="403"/>
    </row>
    <row r="450" spans="2:29" outlineLevel="1">
      <c r="B450" s="1167"/>
      <c r="C450" s="1168"/>
      <c r="D450" s="1750" t="s">
        <v>290</v>
      </c>
      <c r="E450" s="1751"/>
      <c r="F450" s="1751"/>
      <c r="G450" s="1752"/>
      <c r="H450" s="835"/>
      <c r="I450" s="1327" t="e">
        <f t="shared" si="88"/>
        <v>#DIV/0!</v>
      </c>
      <c r="J450" s="736" t="s">
        <v>365</v>
      </c>
      <c r="K450" s="736" t="s">
        <v>365</v>
      </c>
      <c r="L450" s="1330" t="str">
        <f t="shared" si="89"/>
        <v>Non renseigné</v>
      </c>
      <c r="M450" s="736" t="str">
        <f t="shared" si="90"/>
        <v>-</v>
      </c>
      <c r="N450" s="822" t="e">
        <f t="shared" si="91"/>
        <v>#VALUE!</v>
      </c>
      <c r="O450" s="733" t="e">
        <f t="shared" si="92"/>
        <v>#VALUE!</v>
      </c>
      <c r="P450" s="822" t="e">
        <f t="shared" si="93"/>
        <v>#VALUE!</v>
      </c>
      <c r="Q450" s="823"/>
      <c r="R450" s="942"/>
      <c r="S450" s="402" t="e">
        <f t="shared" si="72"/>
        <v>#VALUE!</v>
      </c>
      <c r="T450" s="402" t="e">
        <f t="shared" si="73"/>
        <v>#VALUE!</v>
      </c>
      <c r="U450" s="402" t="e">
        <f t="shared" si="74"/>
        <v>#VALUE!</v>
      </c>
      <c r="V450" s="402" t="e">
        <f t="shared" si="75"/>
        <v>#VALUE!</v>
      </c>
      <c r="W450" s="402" t="e">
        <f t="shared" si="76"/>
        <v>#VALUE!</v>
      </c>
      <c r="X450" s="402" t="e">
        <f t="shared" si="77"/>
        <v>#VALUE!</v>
      </c>
      <c r="Y450" s="402" t="e">
        <f t="shared" si="78"/>
        <v>#VALUE!</v>
      </c>
      <c r="Z450" s="402" t="e">
        <f t="shared" si="79"/>
        <v>#VALUE!</v>
      </c>
      <c r="AA450" s="402" t="e">
        <f t="shared" si="80"/>
        <v>#VALUE!</v>
      </c>
      <c r="AB450" s="669" t="e">
        <f t="shared" si="81"/>
        <v>#VALUE!</v>
      </c>
    </row>
    <row r="451" spans="2:29" s="121" customFormat="1" outlineLevel="1">
      <c r="B451" s="1167"/>
      <c r="C451" s="1168"/>
      <c r="D451" s="1750" t="s">
        <v>290</v>
      </c>
      <c r="E451" s="1751"/>
      <c r="F451" s="1751"/>
      <c r="G451" s="1752"/>
      <c r="H451" s="835"/>
      <c r="I451" s="1327" t="e">
        <f t="shared" si="88"/>
        <v>#DIV/0!</v>
      </c>
      <c r="J451" s="736" t="s">
        <v>365</v>
      </c>
      <c r="K451" s="736" t="s">
        <v>365</v>
      </c>
      <c r="L451" s="1330" t="str">
        <f t="shared" si="89"/>
        <v>Non renseigné</v>
      </c>
      <c r="M451" s="736" t="str">
        <f t="shared" si="90"/>
        <v>-</v>
      </c>
      <c r="N451" s="822" t="e">
        <f t="shared" si="91"/>
        <v>#VALUE!</v>
      </c>
      <c r="O451" s="733" t="e">
        <f t="shared" si="92"/>
        <v>#VALUE!</v>
      </c>
      <c r="P451" s="822" t="e">
        <f t="shared" si="93"/>
        <v>#VALUE!</v>
      </c>
      <c r="Q451" s="823"/>
      <c r="R451" s="942"/>
      <c r="S451" s="402" t="e">
        <f t="shared" si="72"/>
        <v>#VALUE!</v>
      </c>
      <c r="T451" s="402" t="e">
        <f t="shared" si="73"/>
        <v>#VALUE!</v>
      </c>
      <c r="U451" s="402" t="e">
        <f t="shared" si="74"/>
        <v>#VALUE!</v>
      </c>
      <c r="V451" s="402" t="e">
        <f t="shared" si="75"/>
        <v>#VALUE!</v>
      </c>
      <c r="W451" s="402" t="e">
        <f t="shared" si="76"/>
        <v>#VALUE!</v>
      </c>
      <c r="X451" s="402" t="e">
        <f t="shared" si="77"/>
        <v>#VALUE!</v>
      </c>
      <c r="Y451" s="402" t="e">
        <f t="shared" si="78"/>
        <v>#VALUE!</v>
      </c>
      <c r="Z451" s="402" t="e">
        <f t="shared" si="79"/>
        <v>#VALUE!</v>
      </c>
      <c r="AA451" s="402" t="e">
        <f t="shared" si="80"/>
        <v>#VALUE!</v>
      </c>
      <c r="AB451" s="669" t="e">
        <f t="shared" si="81"/>
        <v>#VALUE!</v>
      </c>
      <c r="AC451" s="403"/>
    </row>
    <row r="452" spans="2:29" s="121" customFormat="1" outlineLevel="1">
      <c r="B452" s="1167"/>
      <c r="C452" s="1168"/>
      <c r="D452" s="1750" t="s">
        <v>290</v>
      </c>
      <c r="E452" s="1751"/>
      <c r="F452" s="1751"/>
      <c r="G452" s="1752"/>
      <c r="H452" s="835"/>
      <c r="I452" s="1327" t="e">
        <f t="shared" si="88"/>
        <v>#DIV/0!</v>
      </c>
      <c r="J452" s="736" t="s">
        <v>365</v>
      </c>
      <c r="K452" s="736" t="s">
        <v>365</v>
      </c>
      <c r="L452" s="1330" t="str">
        <f t="shared" si="89"/>
        <v>Non renseigné</v>
      </c>
      <c r="M452" s="736" t="str">
        <f t="shared" si="90"/>
        <v>-</v>
      </c>
      <c r="N452" s="822" t="e">
        <f t="shared" si="91"/>
        <v>#VALUE!</v>
      </c>
      <c r="O452" s="733" t="e">
        <f t="shared" si="92"/>
        <v>#VALUE!</v>
      </c>
      <c r="P452" s="822" t="e">
        <f t="shared" si="93"/>
        <v>#VALUE!</v>
      </c>
      <c r="Q452" s="823"/>
      <c r="R452" s="942"/>
      <c r="S452" s="402" t="e">
        <f t="shared" si="72"/>
        <v>#VALUE!</v>
      </c>
      <c r="T452" s="402" t="e">
        <f t="shared" si="73"/>
        <v>#VALUE!</v>
      </c>
      <c r="U452" s="402" t="e">
        <f t="shared" si="74"/>
        <v>#VALUE!</v>
      </c>
      <c r="V452" s="402" t="e">
        <f t="shared" si="75"/>
        <v>#VALUE!</v>
      </c>
      <c r="W452" s="402" t="e">
        <f t="shared" si="76"/>
        <v>#VALUE!</v>
      </c>
      <c r="X452" s="402" t="e">
        <f t="shared" si="77"/>
        <v>#VALUE!</v>
      </c>
      <c r="Y452" s="402" t="e">
        <f t="shared" si="78"/>
        <v>#VALUE!</v>
      </c>
      <c r="Z452" s="402" t="e">
        <f t="shared" si="79"/>
        <v>#VALUE!</v>
      </c>
      <c r="AA452" s="402" t="e">
        <f t="shared" si="80"/>
        <v>#VALUE!</v>
      </c>
      <c r="AB452" s="669" t="e">
        <f t="shared" si="81"/>
        <v>#VALUE!</v>
      </c>
      <c r="AC452" s="403"/>
    </row>
    <row r="453" spans="2:29" s="121" customFormat="1" outlineLevel="1">
      <c r="B453" s="1167"/>
      <c r="C453" s="1168"/>
      <c r="D453" s="1750" t="s">
        <v>290</v>
      </c>
      <c r="E453" s="1751"/>
      <c r="F453" s="1751"/>
      <c r="G453" s="1752"/>
      <c r="H453" s="835"/>
      <c r="I453" s="1327" t="e">
        <f t="shared" si="88"/>
        <v>#DIV/0!</v>
      </c>
      <c r="J453" s="736" t="s">
        <v>365</v>
      </c>
      <c r="K453" s="736" t="s">
        <v>365</v>
      </c>
      <c r="L453" s="1330" t="str">
        <f t="shared" si="89"/>
        <v>Non renseigné</v>
      </c>
      <c r="M453" s="736" t="str">
        <f t="shared" si="90"/>
        <v>-</v>
      </c>
      <c r="N453" s="822" t="e">
        <f t="shared" si="91"/>
        <v>#VALUE!</v>
      </c>
      <c r="O453" s="733" t="e">
        <f t="shared" si="92"/>
        <v>#VALUE!</v>
      </c>
      <c r="P453" s="822" t="e">
        <f t="shared" si="93"/>
        <v>#VALUE!</v>
      </c>
      <c r="Q453" s="823"/>
      <c r="R453" s="942"/>
      <c r="S453" s="402" t="e">
        <f t="shared" si="72"/>
        <v>#VALUE!</v>
      </c>
      <c r="T453" s="402" t="e">
        <f t="shared" si="73"/>
        <v>#VALUE!</v>
      </c>
      <c r="U453" s="402" t="e">
        <f t="shared" si="74"/>
        <v>#VALUE!</v>
      </c>
      <c r="V453" s="402" t="e">
        <f t="shared" si="75"/>
        <v>#VALUE!</v>
      </c>
      <c r="W453" s="402" t="e">
        <f t="shared" si="76"/>
        <v>#VALUE!</v>
      </c>
      <c r="X453" s="402" t="e">
        <f t="shared" si="77"/>
        <v>#VALUE!</v>
      </c>
      <c r="Y453" s="402" t="e">
        <f t="shared" si="78"/>
        <v>#VALUE!</v>
      </c>
      <c r="Z453" s="402" t="e">
        <f t="shared" si="79"/>
        <v>#VALUE!</v>
      </c>
      <c r="AA453" s="402" t="e">
        <f t="shared" si="80"/>
        <v>#VALUE!</v>
      </c>
      <c r="AB453" s="669" t="e">
        <f t="shared" si="81"/>
        <v>#VALUE!</v>
      </c>
      <c r="AC453" s="403"/>
    </row>
    <row r="454" spans="2:29" s="121" customFormat="1" outlineLevel="1">
      <c r="B454" s="1167"/>
      <c r="C454" s="1168"/>
      <c r="D454" s="1750" t="s">
        <v>290</v>
      </c>
      <c r="E454" s="1751"/>
      <c r="F454" s="1751"/>
      <c r="G454" s="1752"/>
      <c r="H454" s="835"/>
      <c r="I454" s="1327" t="e">
        <f t="shared" si="88"/>
        <v>#DIV/0!</v>
      </c>
      <c r="J454" s="736" t="s">
        <v>365</v>
      </c>
      <c r="K454" s="736" t="s">
        <v>365</v>
      </c>
      <c r="L454" s="1330" t="str">
        <f t="shared" si="89"/>
        <v>Non renseigné</v>
      </c>
      <c r="M454" s="736" t="str">
        <f t="shared" si="90"/>
        <v>-</v>
      </c>
      <c r="N454" s="822" t="e">
        <f t="shared" si="91"/>
        <v>#VALUE!</v>
      </c>
      <c r="O454" s="733" t="e">
        <f t="shared" si="92"/>
        <v>#VALUE!</v>
      </c>
      <c r="P454" s="822" t="e">
        <f t="shared" si="93"/>
        <v>#VALUE!</v>
      </c>
      <c r="Q454" s="823"/>
      <c r="R454" s="942"/>
      <c r="S454" s="402" t="e">
        <f t="shared" si="72"/>
        <v>#VALUE!</v>
      </c>
      <c r="T454" s="402" t="e">
        <f t="shared" si="73"/>
        <v>#VALUE!</v>
      </c>
      <c r="U454" s="402" t="e">
        <f t="shared" si="74"/>
        <v>#VALUE!</v>
      </c>
      <c r="V454" s="402" t="e">
        <f t="shared" si="75"/>
        <v>#VALUE!</v>
      </c>
      <c r="W454" s="402" t="e">
        <f t="shared" si="76"/>
        <v>#VALUE!</v>
      </c>
      <c r="X454" s="402" t="e">
        <f t="shared" si="77"/>
        <v>#VALUE!</v>
      </c>
      <c r="Y454" s="402" t="e">
        <f t="shared" si="78"/>
        <v>#VALUE!</v>
      </c>
      <c r="Z454" s="402" t="e">
        <f t="shared" si="79"/>
        <v>#VALUE!</v>
      </c>
      <c r="AA454" s="402" t="e">
        <f t="shared" si="80"/>
        <v>#VALUE!</v>
      </c>
      <c r="AB454" s="669" t="e">
        <f t="shared" si="81"/>
        <v>#VALUE!</v>
      </c>
      <c r="AC454" s="403"/>
    </row>
    <row r="455" spans="2:29" s="121" customFormat="1" outlineLevel="1">
      <c r="B455" s="1167"/>
      <c r="C455" s="1168"/>
      <c r="D455" s="1750" t="s">
        <v>290</v>
      </c>
      <c r="E455" s="1751"/>
      <c r="F455" s="1751"/>
      <c r="G455" s="1752"/>
      <c r="H455" s="835"/>
      <c r="I455" s="1327" t="e">
        <f t="shared" si="88"/>
        <v>#DIV/0!</v>
      </c>
      <c r="J455" s="736" t="s">
        <v>365</v>
      </c>
      <c r="K455" s="736" t="s">
        <v>365</v>
      </c>
      <c r="L455" s="1330" t="str">
        <f t="shared" si="89"/>
        <v>Non renseigné</v>
      </c>
      <c r="M455" s="736" t="str">
        <f t="shared" si="90"/>
        <v>-</v>
      </c>
      <c r="N455" s="822" t="e">
        <f t="shared" si="91"/>
        <v>#VALUE!</v>
      </c>
      <c r="O455" s="733" t="e">
        <f t="shared" si="92"/>
        <v>#VALUE!</v>
      </c>
      <c r="P455" s="822" t="e">
        <f t="shared" si="93"/>
        <v>#VALUE!</v>
      </c>
      <c r="Q455" s="823"/>
      <c r="R455" s="942"/>
      <c r="S455" s="402" t="e">
        <f t="shared" si="72"/>
        <v>#VALUE!</v>
      </c>
      <c r="T455" s="402" t="e">
        <f t="shared" si="73"/>
        <v>#VALUE!</v>
      </c>
      <c r="U455" s="402" t="e">
        <f t="shared" si="74"/>
        <v>#VALUE!</v>
      </c>
      <c r="V455" s="402" t="e">
        <f t="shared" si="75"/>
        <v>#VALUE!</v>
      </c>
      <c r="W455" s="402" t="e">
        <f t="shared" si="76"/>
        <v>#VALUE!</v>
      </c>
      <c r="X455" s="402" t="e">
        <f t="shared" si="77"/>
        <v>#VALUE!</v>
      </c>
      <c r="Y455" s="402" t="e">
        <f t="shared" si="78"/>
        <v>#VALUE!</v>
      </c>
      <c r="Z455" s="402" t="e">
        <f t="shared" si="79"/>
        <v>#VALUE!</v>
      </c>
      <c r="AA455" s="402" t="e">
        <f t="shared" si="80"/>
        <v>#VALUE!</v>
      </c>
      <c r="AB455" s="669" t="e">
        <f t="shared" si="81"/>
        <v>#VALUE!</v>
      </c>
      <c r="AC455" s="403"/>
    </row>
    <row r="456" spans="2:29" s="121" customFormat="1" outlineLevel="1">
      <c r="B456" s="1167"/>
      <c r="C456" s="1168"/>
      <c r="D456" s="1750" t="s">
        <v>290</v>
      </c>
      <c r="E456" s="1751"/>
      <c r="F456" s="1751"/>
      <c r="G456" s="1752"/>
      <c r="H456" s="835"/>
      <c r="I456" s="1327" t="e">
        <f t="shared" si="88"/>
        <v>#DIV/0!</v>
      </c>
      <c r="J456" s="736" t="s">
        <v>365</v>
      </c>
      <c r="K456" s="736" t="s">
        <v>365</v>
      </c>
      <c r="L456" s="1330" t="str">
        <f t="shared" si="89"/>
        <v>Non renseigné</v>
      </c>
      <c r="M456" s="736" t="str">
        <f t="shared" si="90"/>
        <v>-</v>
      </c>
      <c r="N456" s="822" t="e">
        <f t="shared" si="91"/>
        <v>#VALUE!</v>
      </c>
      <c r="O456" s="733" t="e">
        <f t="shared" si="92"/>
        <v>#VALUE!</v>
      </c>
      <c r="P456" s="822" t="e">
        <f t="shared" si="93"/>
        <v>#VALUE!</v>
      </c>
      <c r="Q456" s="823"/>
      <c r="R456" s="942"/>
      <c r="S456" s="402" t="e">
        <f t="shared" si="72"/>
        <v>#VALUE!</v>
      </c>
      <c r="T456" s="402" t="e">
        <f t="shared" si="73"/>
        <v>#VALUE!</v>
      </c>
      <c r="U456" s="402" t="e">
        <f t="shared" si="74"/>
        <v>#VALUE!</v>
      </c>
      <c r="V456" s="402" t="e">
        <f t="shared" si="75"/>
        <v>#VALUE!</v>
      </c>
      <c r="W456" s="402" t="e">
        <f t="shared" si="76"/>
        <v>#VALUE!</v>
      </c>
      <c r="X456" s="402" t="e">
        <f t="shared" si="77"/>
        <v>#VALUE!</v>
      </c>
      <c r="Y456" s="402" t="e">
        <f t="shared" si="78"/>
        <v>#VALUE!</v>
      </c>
      <c r="Z456" s="402" t="e">
        <f t="shared" si="79"/>
        <v>#VALUE!</v>
      </c>
      <c r="AA456" s="402" t="e">
        <f t="shared" si="80"/>
        <v>#VALUE!</v>
      </c>
      <c r="AB456" s="669" t="e">
        <f t="shared" si="81"/>
        <v>#VALUE!</v>
      </c>
      <c r="AC456" s="403"/>
    </row>
    <row r="457" spans="2:29" s="121" customFormat="1" outlineLevel="1">
      <c r="B457" s="1167"/>
      <c r="C457" s="1168"/>
      <c r="D457" s="1750" t="s">
        <v>290</v>
      </c>
      <c r="E457" s="1751"/>
      <c r="F457" s="1751"/>
      <c r="G457" s="1752"/>
      <c r="H457" s="835"/>
      <c r="I457" s="1327" t="e">
        <f t="shared" si="88"/>
        <v>#DIV/0!</v>
      </c>
      <c r="J457" s="736" t="s">
        <v>365</v>
      </c>
      <c r="K457" s="736" t="s">
        <v>365</v>
      </c>
      <c r="L457" s="1330" t="str">
        <f t="shared" si="89"/>
        <v>Non renseigné</v>
      </c>
      <c r="M457" s="736" t="str">
        <f t="shared" si="90"/>
        <v>-</v>
      </c>
      <c r="N457" s="822" t="e">
        <f t="shared" si="91"/>
        <v>#VALUE!</v>
      </c>
      <c r="O457" s="733" t="e">
        <f t="shared" si="92"/>
        <v>#VALUE!</v>
      </c>
      <c r="P457" s="822" t="e">
        <f t="shared" si="93"/>
        <v>#VALUE!</v>
      </c>
      <c r="Q457" s="823"/>
      <c r="R457" s="942"/>
      <c r="S457" s="402" t="e">
        <f t="shared" si="72"/>
        <v>#VALUE!</v>
      </c>
      <c r="T457" s="402" t="e">
        <f t="shared" si="73"/>
        <v>#VALUE!</v>
      </c>
      <c r="U457" s="402" t="e">
        <f t="shared" si="74"/>
        <v>#VALUE!</v>
      </c>
      <c r="V457" s="402" t="e">
        <f t="shared" si="75"/>
        <v>#VALUE!</v>
      </c>
      <c r="W457" s="402" t="e">
        <f t="shared" si="76"/>
        <v>#VALUE!</v>
      </c>
      <c r="X457" s="402" t="e">
        <f t="shared" si="77"/>
        <v>#VALUE!</v>
      </c>
      <c r="Y457" s="402" t="e">
        <f t="shared" si="78"/>
        <v>#VALUE!</v>
      </c>
      <c r="Z457" s="402" t="e">
        <f t="shared" si="79"/>
        <v>#VALUE!</v>
      </c>
      <c r="AA457" s="402" t="e">
        <f t="shared" si="80"/>
        <v>#VALUE!</v>
      </c>
      <c r="AB457" s="669" t="e">
        <f t="shared" si="81"/>
        <v>#VALUE!</v>
      </c>
      <c r="AC457" s="403"/>
    </row>
    <row r="458" spans="2:29" s="121" customFormat="1" outlineLevel="1">
      <c r="B458" s="1167"/>
      <c r="C458" s="1168"/>
      <c r="D458" s="1750" t="s">
        <v>290</v>
      </c>
      <c r="E458" s="1751"/>
      <c r="F458" s="1751"/>
      <c r="G458" s="1752"/>
      <c r="H458" s="835"/>
      <c r="I458" s="1327" t="e">
        <f t="shared" si="88"/>
        <v>#DIV/0!</v>
      </c>
      <c r="J458" s="736" t="s">
        <v>365</v>
      </c>
      <c r="K458" s="736" t="s">
        <v>365</v>
      </c>
      <c r="L458" s="1330" t="str">
        <f t="shared" si="89"/>
        <v>Non renseigné</v>
      </c>
      <c r="M458" s="736" t="str">
        <f t="shared" si="90"/>
        <v>-</v>
      </c>
      <c r="N458" s="822" t="e">
        <f t="shared" si="91"/>
        <v>#VALUE!</v>
      </c>
      <c r="O458" s="733" t="e">
        <f t="shared" si="92"/>
        <v>#VALUE!</v>
      </c>
      <c r="P458" s="822" t="e">
        <f t="shared" si="93"/>
        <v>#VALUE!</v>
      </c>
      <c r="Q458" s="823"/>
      <c r="R458" s="942"/>
      <c r="S458" s="402" t="e">
        <f t="shared" si="72"/>
        <v>#VALUE!</v>
      </c>
      <c r="T458" s="402" t="e">
        <f t="shared" si="73"/>
        <v>#VALUE!</v>
      </c>
      <c r="U458" s="402" t="e">
        <f t="shared" si="74"/>
        <v>#VALUE!</v>
      </c>
      <c r="V458" s="402" t="e">
        <f t="shared" si="75"/>
        <v>#VALUE!</v>
      </c>
      <c r="W458" s="402" t="e">
        <f t="shared" si="76"/>
        <v>#VALUE!</v>
      </c>
      <c r="X458" s="402" t="e">
        <f t="shared" si="77"/>
        <v>#VALUE!</v>
      </c>
      <c r="Y458" s="402" t="e">
        <f t="shared" si="78"/>
        <v>#VALUE!</v>
      </c>
      <c r="Z458" s="402" t="e">
        <f t="shared" si="79"/>
        <v>#VALUE!</v>
      </c>
      <c r="AA458" s="402" t="e">
        <f t="shared" si="80"/>
        <v>#VALUE!</v>
      </c>
      <c r="AB458" s="669" t="e">
        <f t="shared" si="81"/>
        <v>#VALUE!</v>
      </c>
      <c r="AC458" s="403"/>
    </row>
    <row r="459" spans="2:29" s="121" customFormat="1" outlineLevel="1">
      <c r="B459" s="1167"/>
      <c r="C459" s="1168"/>
      <c r="D459" s="1750" t="s">
        <v>290</v>
      </c>
      <c r="E459" s="1751"/>
      <c r="F459" s="1751"/>
      <c r="G459" s="1752"/>
      <c r="H459" s="835"/>
      <c r="I459" s="1327" t="e">
        <f t="shared" si="88"/>
        <v>#DIV/0!</v>
      </c>
      <c r="J459" s="736" t="s">
        <v>365</v>
      </c>
      <c r="K459" s="736" t="s">
        <v>365</v>
      </c>
      <c r="L459" s="1330" t="str">
        <f t="shared" si="89"/>
        <v>Non renseigné</v>
      </c>
      <c r="M459" s="736" t="str">
        <f t="shared" si="90"/>
        <v>-</v>
      </c>
      <c r="N459" s="822" t="e">
        <f t="shared" si="91"/>
        <v>#VALUE!</v>
      </c>
      <c r="O459" s="733" t="e">
        <f t="shared" si="92"/>
        <v>#VALUE!</v>
      </c>
      <c r="P459" s="822" t="e">
        <f t="shared" si="93"/>
        <v>#VALUE!</v>
      </c>
      <c r="Q459" s="823"/>
      <c r="R459" s="942"/>
      <c r="S459" s="402" t="e">
        <f t="shared" si="72"/>
        <v>#VALUE!</v>
      </c>
      <c r="T459" s="402" t="e">
        <f t="shared" si="73"/>
        <v>#VALUE!</v>
      </c>
      <c r="U459" s="402" t="e">
        <f t="shared" si="74"/>
        <v>#VALUE!</v>
      </c>
      <c r="V459" s="402" t="e">
        <f t="shared" si="75"/>
        <v>#VALUE!</v>
      </c>
      <c r="W459" s="402" t="e">
        <f t="shared" si="76"/>
        <v>#VALUE!</v>
      </c>
      <c r="X459" s="402" t="e">
        <f t="shared" si="77"/>
        <v>#VALUE!</v>
      </c>
      <c r="Y459" s="402" t="e">
        <f t="shared" si="78"/>
        <v>#VALUE!</v>
      </c>
      <c r="Z459" s="402" t="e">
        <f t="shared" si="79"/>
        <v>#VALUE!</v>
      </c>
      <c r="AA459" s="402" t="e">
        <f t="shared" si="80"/>
        <v>#VALUE!</v>
      </c>
      <c r="AB459" s="669" t="e">
        <f t="shared" si="81"/>
        <v>#VALUE!</v>
      </c>
      <c r="AC459" s="403"/>
    </row>
    <row r="460" spans="2:29" outlineLevel="1">
      <c r="B460" s="1167"/>
      <c r="C460" s="1168"/>
      <c r="D460" s="1750" t="s">
        <v>290</v>
      </c>
      <c r="E460" s="1751"/>
      <c r="F460" s="1751"/>
      <c r="G460" s="1752"/>
      <c r="H460" s="835"/>
      <c r="I460" s="1327" t="e">
        <f t="shared" si="88"/>
        <v>#DIV/0!</v>
      </c>
      <c r="J460" s="736" t="s">
        <v>365</v>
      </c>
      <c r="K460" s="736" t="s">
        <v>365</v>
      </c>
      <c r="L460" s="1330" t="str">
        <f t="shared" si="89"/>
        <v>Non renseigné</v>
      </c>
      <c r="M460" s="736" t="str">
        <f t="shared" si="90"/>
        <v>-</v>
      </c>
      <c r="N460" s="822" t="e">
        <f t="shared" si="91"/>
        <v>#VALUE!</v>
      </c>
      <c r="O460" s="733" t="e">
        <f t="shared" si="92"/>
        <v>#VALUE!</v>
      </c>
      <c r="P460" s="822" t="e">
        <f t="shared" si="93"/>
        <v>#VALUE!</v>
      </c>
      <c r="Q460" s="823"/>
      <c r="R460" s="942"/>
      <c r="S460" s="402" t="e">
        <f t="shared" si="72"/>
        <v>#VALUE!</v>
      </c>
      <c r="T460" s="402" t="e">
        <f t="shared" si="73"/>
        <v>#VALUE!</v>
      </c>
      <c r="U460" s="402" t="e">
        <f t="shared" si="74"/>
        <v>#VALUE!</v>
      </c>
      <c r="V460" s="402" t="e">
        <f t="shared" si="75"/>
        <v>#VALUE!</v>
      </c>
      <c r="W460" s="402" t="e">
        <f t="shared" si="76"/>
        <v>#VALUE!</v>
      </c>
      <c r="X460" s="402" t="e">
        <f t="shared" si="77"/>
        <v>#VALUE!</v>
      </c>
      <c r="Y460" s="402" t="e">
        <f t="shared" si="78"/>
        <v>#VALUE!</v>
      </c>
      <c r="Z460" s="402" t="e">
        <f t="shared" si="79"/>
        <v>#VALUE!</v>
      </c>
      <c r="AA460" s="402" t="e">
        <f t="shared" si="80"/>
        <v>#VALUE!</v>
      </c>
      <c r="AB460" s="669" t="e">
        <f t="shared" si="81"/>
        <v>#VALUE!</v>
      </c>
    </row>
    <row r="461" spans="2:29" s="121" customFormat="1" outlineLevel="1">
      <c r="B461" s="1167"/>
      <c r="C461" s="1168"/>
      <c r="D461" s="1750" t="s">
        <v>290</v>
      </c>
      <c r="E461" s="1751"/>
      <c r="F461" s="1751"/>
      <c r="G461" s="1752"/>
      <c r="H461" s="835"/>
      <c r="I461" s="1327" t="e">
        <f t="shared" ref="I461:I470" si="94">H461*(1/Q461)</f>
        <v>#DIV/0!</v>
      </c>
      <c r="J461" s="736" t="s">
        <v>365</v>
      </c>
      <c r="K461" s="736" t="s">
        <v>365</v>
      </c>
      <c r="L461" s="1330" t="str">
        <f t="shared" ref="L461:L470" si="95">IF(D461="Bâtiments avec mise en service N+1",J461+1,J461)</f>
        <v>Non renseigné</v>
      </c>
      <c r="M461" s="736" t="str">
        <f t="shared" ref="M461:M470" si="96">VLOOKUP(K461,$AD$14:$AE$27,2,FALSE)</f>
        <v>-</v>
      </c>
      <c r="N461" s="822" t="e">
        <f t="shared" ref="N461:N470" si="97">H461*(M461/12)*(1/Q461)</f>
        <v>#VALUE!</v>
      </c>
      <c r="O461" s="733" t="e">
        <f t="shared" ref="O461:O470" si="98">12-M461</f>
        <v>#VALUE!</v>
      </c>
      <c r="P461" s="822" t="e">
        <f t="shared" ref="P461:P470" si="99">H461*(O461/12)*(1/Q461)</f>
        <v>#VALUE!</v>
      </c>
      <c r="Q461" s="823"/>
      <c r="R461" s="942"/>
      <c r="S461" s="402" t="e">
        <f t="shared" si="72"/>
        <v>#VALUE!</v>
      </c>
      <c r="T461" s="402" t="e">
        <f t="shared" si="73"/>
        <v>#VALUE!</v>
      </c>
      <c r="U461" s="402" t="e">
        <f t="shared" si="74"/>
        <v>#VALUE!</v>
      </c>
      <c r="V461" s="402" t="e">
        <f t="shared" si="75"/>
        <v>#VALUE!</v>
      </c>
      <c r="W461" s="402" t="e">
        <f t="shared" si="76"/>
        <v>#VALUE!</v>
      </c>
      <c r="X461" s="402" t="e">
        <f t="shared" si="77"/>
        <v>#VALUE!</v>
      </c>
      <c r="Y461" s="402" t="e">
        <f t="shared" si="78"/>
        <v>#VALUE!</v>
      </c>
      <c r="Z461" s="402" t="e">
        <f t="shared" si="79"/>
        <v>#VALUE!</v>
      </c>
      <c r="AA461" s="402" t="e">
        <f t="shared" si="80"/>
        <v>#VALUE!</v>
      </c>
      <c r="AB461" s="669" t="e">
        <f t="shared" si="81"/>
        <v>#VALUE!</v>
      </c>
      <c r="AC461" s="403"/>
    </row>
    <row r="462" spans="2:29" s="121" customFormat="1" outlineLevel="1">
      <c r="B462" s="1167"/>
      <c r="C462" s="1168"/>
      <c r="D462" s="1750" t="s">
        <v>290</v>
      </c>
      <c r="E462" s="1751"/>
      <c r="F462" s="1751"/>
      <c r="G462" s="1752"/>
      <c r="H462" s="835"/>
      <c r="I462" s="1327" t="e">
        <f t="shared" si="94"/>
        <v>#DIV/0!</v>
      </c>
      <c r="J462" s="736" t="s">
        <v>365</v>
      </c>
      <c r="K462" s="736" t="s">
        <v>365</v>
      </c>
      <c r="L462" s="1330" t="str">
        <f t="shared" si="95"/>
        <v>Non renseigné</v>
      </c>
      <c r="M462" s="736" t="str">
        <f t="shared" si="96"/>
        <v>-</v>
      </c>
      <c r="N462" s="822" t="e">
        <f t="shared" si="97"/>
        <v>#VALUE!</v>
      </c>
      <c r="O462" s="733" t="e">
        <f t="shared" si="98"/>
        <v>#VALUE!</v>
      </c>
      <c r="P462" s="822" t="e">
        <f t="shared" si="99"/>
        <v>#VALUE!</v>
      </c>
      <c r="Q462" s="823"/>
      <c r="R462" s="942"/>
      <c r="S462" s="402" t="e">
        <f t="shared" si="72"/>
        <v>#VALUE!</v>
      </c>
      <c r="T462" s="402" t="e">
        <f t="shared" si="73"/>
        <v>#VALUE!</v>
      </c>
      <c r="U462" s="402" t="e">
        <f t="shared" si="74"/>
        <v>#VALUE!</v>
      </c>
      <c r="V462" s="402" t="e">
        <f t="shared" si="75"/>
        <v>#VALUE!</v>
      </c>
      <c r="W462" s="402" t="e">
        <f t="shared" si="76"/>
        <v>#VALUE!</v>
      </c>
      <c r="X462" s="402" t="e">
        <f t="shared" si="77"/>
        <v>#VALUE!</v>
      </c>
      <c r="Y462" s="402" t="e">
        <f t="shared" si="78"/>
        <v>#VALUE!</v>
      </c>
      <c r="Z462" s="402" t="e">
        <f t="shared" si="79"/>
        <v>#VALUE!</v>
      </c>
      <c r="AA462" s="402" t="e">
        <f t="shared" si="80"/>
        <v>#VALUE!</v>
      </c>
      <c r="AB462" s="669" t="e">
        <f t="shared" si="81"/>
        <v>#VALUE!</v>
      </c>
      <c r="AC462" s="403"/>
    </row>
    <row r="463" spans="2:29" s="121" customFormat="1" outlineLevel="1">
      <c r="B463" s="1167"/>
      <c r="C463" s="1168"/>
      <c r="D463" s="1750" t="s">
        <v>290</v>
      </c>
      <c r="E463" s="1751"/>
      <c r="F463" s="1751"/>
      <c r="G463" s="1752"/>
      <c r="H463" s="835"/>
      <c r="I463" s="1327" t="e">
        <f t="shared" si="94"/>
        <v>#DIV/0!</v>
      </c>
      <c r="J463" s="736" t="s">
        <v>365</v>
      </c>
      <c r="K463" s="736" t="s">
        <v>365</v>
      </c>
      <c r="L463" s="1330" t="str">
        <f t="shared" si="95"/>
        <v>Non renseigné</v>
      </c>
      <c r="M463" s="736" t="str">
        <f t="shared" si="96"/>
        <v>-</v>
      </c>
      <c r="N463" s="822" t="e">
        <f t="shared" si="97"/>
        <v>#VALUE!</v>
      </c>
      <c r="O463" s="733" t="e">
        <f t="shared" si="98"/>
        <v>#VALUE!</v>
      </c>
      <c r="P463" s="822" t="e">
        <f t="shared" si="99"/>
        <v>#VALUE!</v>
      </c>
      <c r="Q463" s="823"/>
      <c r="R463" s="942"/>
      <c r="S463" s="402" t="e">
        <f t="shared" si="72"/>
        <v>#VALUE!</v>
      </c>
      <c r="T463" s="402" t="e">
        <f t="shared" si="73"/>
        <v>#VALUE!</v>
      </c>
      <c r="U463" s="402" t="e">
        <f t="shared" si="74"/>
        <v>#VALUE!</v>
      </c>
      <c r="V463" s="402" t="e">
        <f t="shared" si="75"/>
        <v>#VALUE!</v>
      </c>
      <c r="W463" s="402" t="e">
        <f t="shared" si="76"/>
        <v>#VALUE!</v>
      </c>
      <c r="X463" s="402" t="e">
        <f t="shared" si="77"/>
        <v>#VALUE!</v>
      </c>
      <c r="Y463" s="402" t="e">
        <f t="shared" si="78"/>
        <v>#VALUE!</v>
      </c>
      <c r="Z463" s="402" t="e">
        <f t="shared" si="79"/>
        <v>#VALUE!</v>
      </c>
      <c r="AA463" s="402" t="e">
        <f t="shared" si="80"/>
        <v>#VALUE!</v>
      </c>
      <c r="AB463" s="669" t="e">
        <f t="shared" si="81"/>
        <v>#VALUE!</v>
      </c>
      <c r="AC463" s="403"/>
    </row>
    <row r="464" spans="2:29" s="121" customFormat="1" outlineLevel="1">
      <c r="B464" s="1167"/>
      <c r="C464" s="1168"/>
      <c r="D464" s="1750" t="s">
        <v>290</v>
      </c>
      <c r="E464" s="1751"/>
      <c r="F464" s="1751"/>
      <c r="G464" s="1752"/>
      <c r="H464" s="835"/>
      <c r="I464" s="1327" t="e">
        <f t="shared" si="94"/>
        <v>#DIV/0!</v>
      </c>
      <c r="J464" s="736" t="s">
        <v>365</v>
      </c>
      <c r="K464" s="736" t="s">
        <v>365</v>
      </c>
      <c r="L464" s="1330" t="str">
        <f t="shared" si="95"/>
        <v>Non renseigné</v>
      </c>
      <c r="M464" s="736" t="str">
        <f t="shared" si="96"/>
        <v>-</v>
      </c>
      <c r="N464" s="822" t="e">
        <f t="shared" si="97"/>
        <v>#VALUE!</v>
      </c>
      <c r="O464" s="733" t="e">
        <f t="shared" si="98"/>
        <v>#VALUE!</v>
      </c>
      <c r="P464" s="822" t="e">
        <f t="shared" si="99"/>
        <v>#VALUE!</v>
      </c>
      <c r="Q464" s="823"/>
      <c r="R464" s="942"/>
      <c r="S464" s="402" t="e">
        <f t="shared" si="72"/>
        <v>#VALUE!</v>
      </c>
      <c r="T464" s="402" t="e">
        <f t="shared" si="73"/>
        <v>#VALUE!</v>
      </c>
      <c r="U464" s="402" t="e">
        <f t="shared" si="74"/>
        <v>#VALUE!</v>
      </c>
      <c r="V464" s="402" t="e">
        <f t="shared" si="75"/>
        <v>#VALUE!</v>
      </c>
      <c r="W464" s="402" t="e">
        <f t="shared" si="76"/>
        <v>#VALUE!</v>
      </c>
      <c r="X464" s="402" t="e">
        <f t="shared" si="77"/>
        <v>#VALUE!</v>
      </c>
      <c r="Y464" s="402" t="e">
        <f t="shared" si="78"/>
        <v>#VALUE!</v>
      </c>
      <c r="Z464" s="402" t="e">
        <f t="shared" si="79"/>
        <v>#VALUE!</v>
      </c>
      <c r="AA464" s="402" t="e">
        <f t="shared" si="80"/>
        <v>#VALUE!</v>
      </c>
      <c r="AB464" s="669" t="e">
        <f t="shared" si="81"/>
        <v>#VALUE!</v>
      </c>
      <c r="AC464" s="403"/>
    </row>
    <row r="465" spans="2:29" s="121" customFormat="1" outlineLevel="1">
      <c r="B465" s="1167"/>
      <c r="C465" s="1168"/>
      <c r="D465" s="1750" t="s">
        <v>290</v>
      </c>
      <c r="E465" s="1751"/>
      <c r="F465" s="1751"/>
      <c r="G465" s="1752"/>
      <c r="H465" s="835"/>
      <c r="I465" s="1327" t="e">
        <f t="shared" si="94"/>
        <v>#DIV/0!</v>
      </c>
      <c r="J465" s="736" t="s">
        <v>365</v>
      </c>
      <c r="K465" s="736" t="s">
        <v>365</v>
      </c>
      <c r="L465" s="1330" t="str">
        <f t="shared" si="95"/>
        <v>Non renseigné</v>
      </c>
      <c r="M465" s="736" t="str">
        <f t="shared" si="96"/>
        <v>-</v>
      </c>
      <c r="N465" s="822" t="e">
        <f t="shared" si="97"/>
        <v>#VALUE!</v>
      </c>
      <c r="O465" s="733" t="e">
        <f t="shared" si="98"/>
        <v>#VALUE!</v>
      </c>
      <c r="P465" s="822" t="e">
        <f t="shared" si="99"/>
        <v>#VALUE!</v>
      </c>
      <c r="Q465" s="823"/>
      <c r="R465" s="942"/>
      <c r="S465" s="402" t="e">
        <f t="shared" si="72"/>
        <v>#VALUE!</v>
      </c>
      <c r="T465" s="402" t="e">
        <f t="shared" si="73"/>
        <v>#VALUE!</v>
      </c>
      <c r="U465" s="402" t="e">
        <f t="shared" si="74"/>
        <v>#VALUE!</v>
      </c>
      <c r="V465" s="402" t="e">
        <f t="shared" si="75"/>
        <v>#VALUE!</v>
      </c>
      <c r="W465" s="402" t="e">
        <f t="shared" si="76"/>
        <v>#VALUE!</v>
      </c>
      <c r="X465" s="402" t="e">
        <f t="shared" si="77"/>
        <v>#VALUE!</v>
      </c>
      <c r="Y465" s="402" t="e">
        <f t="shared" si="78"/>
        <v>#VALUE!</v>
      </c>
      <c r="Z465" s="402" t="e">
        <f t="shared" si="79"/>
        <v>#VALUE!</v>
      </c>
      <c r="AA465" s="402" t="e">
        <f t="shared" si="80"/>
        <v>#VALUE!</v>
      </c>
      <c r="AB465" s="669" t="e">
        <f t="shared" si="81"/>
        <v>#VALUE!</v>
      </c>
      <c r="AC465" s="403"/>
    </row>
    <row r="466" spans="2:29" s="121" customFormat="1" outlineLevel="1">
      <c r="B466" s="1167"/>
      <c r="C466" s="1168"/>
      <c r="D466" s="1750" t="s">
        <v>290</v>
      </c>
      <c r="E466" s="1751"/>
      <c r="F466" s="1751"/>
      <c r="G466" s="1752"/>
      <c r="H466" s="835"/>
      <c r="I466" s="1327" t="e">
        <f t="shared" si="94"/>
        <v>#DIV/0!</v>
      </c>
      <c r="J466" s="736" t="s">
        <v>365</v>
      </c>
      <c r="K466" s="736" t="s">
        <v>365</v>
      </c>
      <c r="L466" s="1330" t="str">
        <f t="shared" si="95"/>
        <v>Non renseigné</v>
      </c>
      <c r="M466" s="736" t="str">
        <f t="shared" si="96"/>
        <v>-</v>
      </c>
      <c r="N466" s="822" t="e">
        <f t="shared" si="97"/>
        <v>#VALUE!</v>
      </c>
      <c r="O466" s="733" t="e">
        <f t="shared" si="98"/>
        <v>#VALUE!</v>
      </c>
      <c r="P466" s="822" t="e">
        <f t="shared" si="99"/>
        <v>#VALUE!</v>
      </c>
      <c r="Q466" s="823"/>
      <c r="R466" s="942"/>
      <c r="S466" s="402" t="e">
        <f t="shared" si="72"/>
        <v>#VALUE!</v>
      </c>
      <c r="T466" s="402" t="e">
        <f t="shared" si="73"/>
        <v>#VALUE!</v>
      </c>
      <c r="U466" s="402" t="e">
        <f t="shared" si="74"/>
        <v>#VALUE!</v>
      </c>
      <c r="V466" s="402" t="e">
        <f t="shared" si="75"/>
        <v>#VALUE!</v>
      </c>
      <c r="W466" s="402" t="e">
        <f t="shared" si="76"/>
        <v>#VALUE!</v>
      </c>
      <c r="X466" s="402" t="e">
        <f t="shared" si="77"/>
        <v>#VALUE!</v>
      </c>
      <c r="Y466" s="402" t="e">
        <f t="shared" si="78"/>
        <v>#VALUE!</v>
      </c>
      <c r="Z466" s="402" t="e">
        <f t="shared" si="79"/>
        <v>#VALUE!</v>
      </c>
      <c r="AA466" s="402" t="e">
        <f t="shared" si="80"/>
        <v>#VALUE!</v>
      </c>
      <c r="AB466" s="669" t="e">
        <f t="shared" si="81"/>
        <v>#VALUE!</v>
      </c>
      <c r="AC466" s="403"/>
    </row>
    <row r="467" spans="2:29" s="121" customFormat="1" outlineLevel="1">
      <c r="B467" s="1167"/>
      <c r="C467" s="1168"/>
      <c r="D467" s="1750" t="s">
        <v>290</v>
      </c>
      <c r="E467" s="1751"/>
      <c r="F467" s="1751"/>
      <c r="G467" s="1752"/>
      <c r="H467" s="835"/>
      <c r="I467" s="1327" t="e">
        <f t="shared" si="94"/>
        <v>#DIV/0!</v>
      </c>
      <c r="J467" s="736" t="s">
        <v>365</v>
      </c>
      <c r="K467" s="736" t="s">
        <v>365</v>
      </c>
      <c r="L467" s="1330" t="str">
        <f t="shared" si="95"/>
        <v>Non renseigné</v>
      </c>
      <c r="M467" s="736" t="str">
        <f t="shared" si="96"/>
        <v>-</v>
      </c>
      <c r="N467" s="822" t="e">
        <f t="shared" si="97"/>
        <v>#VALUE!</v>
      </c>
      <c r="O467" s="733" t="e">
        <f t="shared" si="98"/>
        <v>#VALUE!</v>
      </c>
      <c r="P467" s="822" t="e">
        <f t="shared" si="99"/>
        <v>#VALUE!</v>
      </c>
      <c r="Q467" s="823"/>
      <c r="R467" s="942"/>
      <c r="S467" s="402" t="e">
        <f t="shared" si="72"/>
        <v>#VALUE!</v>
      </c>
      <c r="T467" s="402" t="e">
        <f t="shared" si="73"/>
        <v>#VALUE!</v>
      </c>
      <c r="U467" s="402" t="e">
        <f t="shared" si="74"/>
        <v>#VALUE!</v>
      </c>
      <c r="V467" s="402" t="e">
        <f t="shared" si="75"/>
        <v>#VALUE!</v>
      </c>
      <c r="W467" s="402" t="e">
        <f t="shared" si="76"/>
        <v>#VALUE!</v>
      </c>
      <c r="X467" s="402" t="e">
        <f t="shared" si="77"/>
        <v>#VALUE!</v>
      </c>
      <c r="Y467" s="402" t="e">
        <f t="shared" si="78"/>
        <v>#VALUE!</v>
      </c>
      <c r="Z467" s="402" t="e">
        <f t="shared" si="79"/>
        <v>#VALUE!</v>
      </c>
      <c r="AA467" s="402" t="e">
        <f t="shared" si="80"/>
        <v>#VALUE!</v>
      </c>
      <c r="AB467" s="669" t="e">
        <f t="shared" si="81"/>
        <v>#VALUE!</v>
      </c>
      <c r="AC467" s="403"/>
    </row>
    <row r="468" spans="2:29" s="121" customFormat="1" outlineLevel="1">
      <c r="B468" s="1167"/>
      <c r="C468" s="1168"/>
      <c r="D468" s="1750" t="s">
        <v>290</v>
      </c>
      <c r="E468" s="1751"/>
      <c r="F468" s="1751"/>
      <c r="G468" s="1752"/>
      <c r="H468" s="835"/>
      <c r="I468" s="1327" t="e">
        <f t="shared" si="94"/>
        <v>#DIV/0!</v>
      </c>
      <c r="J468" s="736" t="s">
        <v>365</v>
      </c>
      <c r="K468" s="736" t="s">
        <v>365</v>
      </c>
      <c r="L468" s="1330" t="str">
        <f t="shared" si="95"/>
        <v>Non renseigné</v>
      </c>
      <c r="M468" s="736" t="str">
        <f t="shared" si="96"/>
        <v>-</v>
      </c>
      <c r="N468" s="822" t="e">
        <f t="shared" si="97"/>
        <v>#VALUE!</v>
      </c>
      <c r="O468" s="733" t="e">
        <f t="shared" si="98"/>
        <v>#VALUE!</v>
      </c>
      <c r="P468" s="822" t="e">
        <f t="shared" si="99"/>
        <v>#VALUE!</v>
      </c>
      <c r="Q468" s="823"/>
      <c r="R468" s="942"/>
      <c r="S468" s="402" t="e">
        <f t="shared" si="72"/>
        <v>#VALUE!</v>
      </c>
      <c r="T468" s="402" t="e">
        <f t="shared" si="73"/>
        <v>#VALUE!</v>
      </c>
      <c r="U468" s="402" t="e">
        <f t="shared" si="74"/>
        <v>#VALUE!</v>
      </c>
      <c r="V468" s="402" t="e">
        <f t="shared" si="75"/>
        <v>#VALUE!</v>
      </c>
      <c r="W468" s="402" t="e">
        <f t="shared" si="76"/>
        <v>#VALUE!</v>
      </c>
      <c r="X468" s="402" t="e">
        <f t="shared" si="77"/>
        <v>#VALUE!</v>
      </c>
      <c r="Y468" s="402" t="e">
        <f t="shared" si="78"/>
        <v>#VALUE!</v>
      </c>
      <c r="Z468" s="402" t="e">
        <f t="shared" si="79"/>
        <v>#VALUE!</v>
      </c>
      <c r="AA468" s="402" t="e">
        <f t="shared" si="80"/>
        <v>#VALUE!</v>
      </c>
      <c r="AB468" s="669" t="e">
        <f t="shared" si="81"/>
        <v>#VALUE!</v>
      </c>
      <c r="AC468" s="403"/>
    </row>
    <row r="469" spans="2:29" s="121" customFormat="1" outlineLevel="1">
      <c r="B469" s="1167"/>
      <c r="C469" s="1168"/>
      <c r="D469" s="1750" t="s">
        <v>290</v>
      </c>
      <c r="E469" s="1751"/>
      <c r="F469" s="1751"/>
      <c r="G469" s="1752"/>
      <c r="H469" s="835"/>
      <c r="I469" s="1327" t="e">
        <f t="shared" si="94"/>
        <v>#DIV/0!</v>
      </c>
      <c r="J469" s="736" t="s">
        <v>365</v>
      </c>
      <c r="K469" s="736" t="s">
        <v>365</v>
      </c>
      <c r="L469" s="1330" t="str">
        <f t="shared" si="95"/>
        <v>Non renseigné</v>
      </c>
      <c r="M469" s="736" t="str">
        <f t="shared" si="96"/>
        <v>-</v>
      </c>
      <c r="N469" s="822" t="e">
        <f t="shared" si="97"/>
        <v>#VALUE!</v>
      </c>
      <c r="O469" s="733" t="e">
        <f t="shared" si="98"/>
        <v>#VALUE!</v>
      </c>
      <c r="P469" s="822" t="e">
        <f t="shared" si="99"/>
        <v>#VALUE!</v>
      </c>
      <c r="Q469" s="823"/>
      <c r="R469" s="942"/>
      <c r="S469" s="402" t="e">
        <f t="shared" si="72"/>
        <v>#VALUE!</v>
      </c>
      <c r="T469" s="402" t="e">
        <f t="shared" si="73"/>
        <v>#VALUE!</v>
      </c>
      <c r="U469" s="402" t="e">
        <f t="shared" si="74"/>
        <v>#VALUE!</v>
      </c>
      <c r="V469" s="402" t="e">
        <f t="shared" si="75"/>
        <v>#VALUE!</v>
      </c>
      <c r="W469" s="402" t="e">
        <f t="shared" si="76"/>
        <v>#VALUE!</v>
      </c>
      <c r="X469" s="402" t="e">
        <f t="shared" si="77"/>
        <v>#VALUE!</v>
      </c>
      <c r="Y469" s="402" t="e">
        <f t="shared" si="78"/>
        <v>#VALUE!</v>
      </c>
      <c r="Z469" s="402" t="e">
        <f t="shared" si="79"/>
        <v>#VALUE!</v>
      </c>
      <c r="AA469" s="402" t="e">
        <f t="shared" si="80"/>
        <v>#VALUE!</v>
      </c>
      <c r="AB469" s="669" t="e">
        <f t="shared" si="81"/>
        <v>#VALUE!</v>
      </c>
      <c r="AC469" s="403"/>
    </row>
    <row r="470" spans="2:29" outlineLevel="1">
      <c r="B470" s="1167"/>
      <c r="C470" s="1168"/>
      <c r="D470" s="1750" t="s">
        <v>290</v>
      </c>
      <c r="E470" s="1751"/>
      <c r="F470" s="1751"/>
      <c r="G470" s="1752"/>
      <c r="H470" s="835"/>
      <c r="I470" s="1327" t="e">
        <f t="shared" si="94"/>
        <v>#DIV/0!</v>
      </c>
      <c r="J470" s="736" t="s">
        <v>365</v>
      </c>
      <c r="K470" s="736" t="s">
        <v>365</v>
      </c>
      <c r="L470" s="1330" t="str">
        <f t="shared" si="95"/>
        <v>Non renseigné</v>
      </c>
      <c r="M470" s="736" t="str">
        <f t="shared" si="96"/>
        <v>-</v>
      </c>
      <c r="N470" s="822" t="e">
        <f t="shared" si="97"/>
        <v>#VALUE!</v>
      </c>
      <c r="O470" s="733" t="e">
        <f t="shared" si="98"/>
        <v>#VALUE!</v>
      </c>
      <c r="P470" s="822" t="e">
        <f t="shared" si="99"/>
        <v>#VALUE!</v>
      </c>
      <c r="Q470" s="823"/>
      <c r="R470" s="942"/>
      <c r="S470" s="402" t="e">
        <f t="shared" si="72"/>
        <v>#VALUE!</v>
      </c>
      <c r="T470" s="402" t="e">
        <f t="shared" si="73"/>
        <v>#VALUE!</v>
      </c>
      <c r="U470" s="402" t="e">
        <f t="shared" si="74"/>
        <v>#VALUE!</v>
      </c>
      <c r="V470" s="402" t="e">
        <f t="shared" si="75"/>
        <v>#VALUE!</v>
      </c>
      <c r="W470" s="402" t="e">
        <f t="shared" si="76"/>
        <v>#VALUE!</v>
      </c>
      <c r="X470" s="402" t="e">
        <f t="shared" si="77"/>
        <v>#VALUE!</v>
      </c>
      <c r="Y470" s="402" t="e">
        <f t="shared" si="78"/>
        <v>#VALUE!</v>
      </c>
      <c r="Z470" s="402" t="e">
        <f t="shared" si="79"/>
        <v>#VALUE!</v>
      </c>
      <c r="AA470" s="402" t="e">
        <f t="shared" si="80"/>
        <v>#VALUE!</v>
      </c>
      <c r="AB470" s="669" t="e">
        <f t="shared" si="81"/>
        <v>#VALUE!</v>
      </c>
    </row>
    <row r="471" spans="2:29" s="121" customFormat="1" outlineLevel="1">
      <c r="B471" s="1167"/>
      <c r="C471" s="1168"/>
      <c r="D471" s="1750" t="s">
        <v>290</v>
      </c>
      <c r="E471" s="1751"/>
      <c r="F471" s="1751"/>
      <c r="G471" s="1752"/>
      <c r="H471" s="835"/>
      <c r="I471" s="1327" t="e">
        <f t="shared" si="82"/>
        <v>#DIV/0!</v>
      </c>
      <c r="J471" s="736" t="s">
        <v>365</v>
      </c>
      <c r="K471" s="736" t="s">
        <v>365</v>
      </c>
      <c r="L471" s="1330" t="str">
        <f t="shared" si="83"/>
        <v>Non renseigné</v>
      </c>
      <c r="M471" s="736" t="str">
        <f t="shared" si="84"/>
        <v>-</v>
      </c>
      <c r="N471" s="822" t="e">
        <f t="shared" si="85"/>
        <v>#VALUE!</v>
      </c>
      <c r="O471" s="733" t="e">
        <f t="shared" si="86"/>
        <v>#VALUE!</v>
      </c>
      <c r="P471" s="822" t="e">
        <f t="shared" si="87"/>
        <v>#VALUE!</v>
      </c>
      <c r="Q471" s="823"/>
      <c r="R471" s="942"/>
      <c r="S471" s="402" t="e">
        <f t="shared" si="72"/>
        <v>#VALUE!</v>
      </c>
      <c r="T471" s="402" t="e">
        <f t="shared" si="73"/>
        <v>#VALUE!</v>
      </c>
      <c r="U471" s="402" t="e">
        <f t="shared" si="74"/>
        <v>#VALUE!</v>
      </c>
      <c r="V471" s="402" t="e">
        <f t="shared" si="75"/>
        <v>#VALUE!</v>
      </c>
      <c r="W471" s="402" t="e">
        <f t="shared" si="76"/>
        <v>#VALUE!</v>
      </c>
      <c r="X471" s="402" t="e">
        <f t="shared" si="77"/>
        <v>#VALUE!</v>
      </c>
      <c r="Y471" s="402" t="e">
        <f t="shared" si="78"/>
        <v>#VALUE!</v>
      </c>
      <c r="Z471" s="402" t="e">
        <f t="shared" si="79"/>
        <v>#VALUE!</v>
      </c>
      <c r="AA471" s="402" t="e">
        <f t="shared" si="80"/>
        <v>#VALUE!</v>
      </c>
      <c r="AB471" s="669" t="e">
        <f t="shared" si="81"/>
        <v>#VALUE!</v>
      </c>
      <c r="AC471" s="403"/>
    </row>
    <row r="472" spans="2:29" s="121" customFormat="1" outlineLevel="1">
      <c r="B472" s="1167"/>
      <c r="C472" s="1168"/>
      <c r="D472" s="1750" t="s">
        <v>290</v>
      </c>
      <c r="E472" s="1751"/>
      <c r="F472" s="1751"/>
      <c r="G472" s="1752"/>
      <c r="H472" s="835"/>
      <c r="I472" s="1327" t="e">
        <f t="shared" si="82"/>
        <v>#DIV/0!</v>
      </c>
      <c r="J472" s="736" t="s">
        <v>365</v>
      </c>
      <c r="K472" s="736" t="s">
        <v>365</v>
      </c>
      <c r="L472" s="1330" t="str">
        <f t="shared" si="83"/>
        <v>Non renseigné</v>
      </c>
      <c r="M472" s="736" t="str">
        <f t="shared" si="84"/>
        <v>-</v>
      </c>
      <c r="N472" s="822" t="e">
        <f t="shared" si="85"/>
        <v>#VALUE!</v>
      </c>
      <c r="O472" s="733" t="e">
        <f t="shared" si="86"/>
        <v>#VALUE!</v>
      </c>
      <c r="P472" s="822" t="e">
        <f t="shared" si="87"/>
        <v>#VALUE!</v>
      </c>
      <c r="Q472" s="823"/>
      <c r="R472" s="942"/>
      <c r="S472" s="402" t="e">
        <f t="shared" si="72"/>
        <v>#VALUE!</v>
      </c>
      <c r="T472" s="402" t="e">
        <f t="shared" si="73"/>
        <v>#VALUE!</v>
      </c>
      <c r="U472" s="402" t="e">
        <f t="shared" si="74"/>
        <v>#VALUE!</v>
      </c>
      <c r="V472" s="402" t="e">
        <f t="shared" si="75"/>
        <v>#VALUE!</v>
      </c>
      <c r="W472" s="402" t="e">
        <f t="shared" si="76"/>
        <v>#VALUE!</v>
      </c>
      <c r="X472" s="402" t="e">
        <f t="shared" si="77"/>
        <v>#VALUE!</v>
      </c>
      <c r="Y472" s="402" t="e">
        <f t="shared" si="78"/>
        <v>#VALUE!</v>
      </c>
      <c r="Z472" s="402" t="e">
        <f t="shared" si="79"/>
        <v>#VALUE!</v>
      </c>
      <c r="AA472" s="402" t="e">
        <f t="shared" si="80"/>
        <v>#VALUE!</v>
      </c>
      <c r="AB472" s="669" t="e">
        <f t="shared" si="81"/>
        <v>#VALUE!</v>
      </c>
      <c r="AC472" s="403"/>
    </row>
    <row r="473" spans="2:29" s="121" customFormat="1" outlineLevel="1">
      <c r="B473" s="1167"/>
      <c r="C473" s="1168"/>
      <c r="D473" s="1750" t="s">
        <v>290</v>
      </c>
      <c r="E473" s="1751"/>
      <c r="F473" s="1751"/>
      <c r="G473" s="1752"/>
      <c r="H473" s="835"/>
      <c r="I473" s="1327" t="e">
        <f t="shared" si="82"/>
        <v>#DIV/0!</v>
      </c>
      <c r="J473" s="736" t="s">
        <v>365</v>
      </c>
      <c r="K473" s="736" t="s">
        <v>365</v>
      </c>
      <c r="L473" s="1330" t="str">
        <f t="shared" si="83"/>
        <v>Non renseigné</v>
      </c>
      <c r="M473" s="736" t="str">
        <f t="shared" si="84"/>
        <v>-</v>
      </c>
      <c r="N473" s="822" t="e">
        <f t="shared" si="85"/>
        <v>#VALUE!</v>
      </c>
      <c r="O473" s="733" t="e">
        <f t="shared" si="86"/>
        <v>#VALUE!</v>
      </c>
      <c r="P473" s="822" t="e">
        <f t="shared" si="87"/>
        <v>#VALUE!</v>
      </c>
      <c r="Q473" s="823"/>
      <c r="R473" s="942"/>
      <c r="S473" s="402" t="e">
        <f t="shared" si="72"/>
        <v>#VALUE!</v>
      </c>
      <c r="T473" s="402" t="e">
        <f t="shared" si="73"/>
        <v>#VALUE!</v>
      </c>
      <c r="U473" s="402" t="e">
        <f t="shared" si="74"/>
        <v>#VALUE!</v>
      </c>
      <c r="V473" s="402" t="e">
        <f t="shared" si="75"/>
        <v>#VALUE!</v>
      </c>
      <c r="W473" s="402" t="e">
        <f t="shared" si="76"/>
        <v>#VALUE!</v>
      </c>
      <c r="X473" s="402" t="e">
        <f t="shared" si="77"/>
        <v>#VALUE!</v>
      </c>
      <c r="Y473" s="402" t="e">
        <f t="shared" si="78"/>
        <v>#VALUE!</v>
      </c>
      <c r="Z473" s="402" t="e">
        <f t="shared" si="79"/>
        <v>#VALUE!</v>
      </c>
      <c r="AA473" s="402" t="e">
        <f t="shared" si="80"/>
        <v>#VALUE!</v>
      </c>
      <c r="AB473" s="669" t="e">
        <f t="shared" si="81"/>
        <v>#VALUE!</v>
      </c>
      <c r="AC473" s="403"/>
    </row>
    <row r="474" spans="2:29" s="121" customFormat="1" outlineLevel="1">
      <c r="B474" s="1167"/>
      <c r="C474" s="1168"/>
      <c r="D474" s="1750" t="s">
        <v>290</v>
      </c>
      <c r="E474" s="1751"/>
      <c r="F474" s="1751"/>
      <c r="G474" s="1752"/>
      <c r="H474" s="835"/>
      <c r="I474" s="1327" t="e">
        <f t="shared" si="82"/>
        <v>#DIV/0!</v>
      </c>
      <c r="J474" s="736" t="s">
        <v>365</v>
      </c>
      <c r="K474" s="736" t="s">
        <v>365</v>
      </c>
      <c r="L474" s="1330" t="str">
        <f t="shared" si="83"/>
        <v>Non renseigné</v>
      </c>
      <c r="M474" s="736" t="str">
        <f t="shared" si="84"/>
        <v>-</v>
      </c>
      <c r="N474" s="822" t="e">
        <f t="shared" si="85"/>
        <v>#VALUE!</v>
      </c>
      <c r="O474" s="733" t="e">
        <f t="shared" si="86"/>
        <v>#VALUE!</v>
      </c>
      <c r="P474" s="822" t="e">
        <f t="shared" si="87"/>
        <v>#VALUE!</v>
      </c>
      <c r="Q474" s="823"/>
      <c r="R474" s="942"/>
      <c r="S474" s="402" t="e">
        <f t="shared" si="72"/>
        <v>#VALUE!</v>
      </c>
      <c r="T474" s="402" t="e">
        <f t="shared" si="73"/>
        <v>#VALUE!</v>
      </c>
      <c r="U474" s="402" t="e">
        <f t="shared" si="74"/>
        <v>#VALUE!</v>
      </c>
      <c r="V474" s="402" t="e">
        <f t="shared" si="75"/>
        <v>#VALUE!</v>
      </c>
      <c r="W474" s="402" t="e">
        <f t="shared" si="76"/>
        <v>#VALUE!</v>
      </c>
      <c r="X474" s="402" t="e">
        <f t="shared" si="77"/>
        <v>#VALUE!</v>
      </c>
      <c r="Y474" s="402" t="e">
        <f t="shared" si="78"/>
        <v>#VALUE!</v>
      </c>
      <c r="Z474" s="402" t="e">
        <f t="shared" si="79"/>
        <v>#VALUE!</v>
      </c>
      <c r="AA474" s="402" t="e">
        <f t="shared" si="80"/>
        <v>#VALUE!</v>
      </c>
      <c r="AB474" s="669" t="e">
        <f t="shared" si="81"/>
        <v>#VALUE!</v>
      </c>
      <c r="AC474" s="403"/>
    </row>
    <row r="475" spans="2:29" s="121" customFormat="1" outlineLevel="1">
      <c r="B475" s="1167"/>
      <c r="C475" s="1168"/>
      <c r="D475" s="1750" t="s">
        <v>290</v>
      </c>
      <c r="E475" s="1751"/>
      <c r="F475" s="1751"/>
      <c r="G475" s="1752"/>
      <c r="H475" s="835"/>
      <c r="I475" s="1327" t="e">
        <f t="shared" si="82"/>
        <v>#DIV/0!</v>
      </c>
      <c r="J475" s="736" t="s">
        <v>365</v>
      </c>
      <c r="K475" s="736" t="s">
        <v>365</v>
      </c>
      <c r="L475" s="1330" t="str">
        <f t="shared" si="83"/>
        <v>Non renseigné</v>
      </c>
      <c r="M475" s="736" t="str">
        <f t="shared" si="84"/>
        <v>-</v>
      </c>
      <c r="N475" s="822" t="e">
        <f t="shared" si="85"/>
        <v>#VALUE!</v>
      </c>
      <c r="O475" s="733" t="e">
        <f t="shared" si="86"/>
        <v>#VALUE!</v>
      </c>
      <c r="P475" s="822" t="e">
        <f t="shared" si="87"/>
        <v>#VALUE!</v>
      </c>
      <c r="Q475" s="823"/>
      <c r="R475" s="942"/>
      <c r="S475" s="402" t="e">
        <f t="shared" si="72"/>
        <v>#VALUE!</v>
      </c>
      <c r="T475" s="402" t="e">
        <f t="shared" si="73"/>
        <v>#VALUE!</v>
      </c>
      <c r="U475" s="402" t="e">
        <f t="shared" si="74"/>
        <v>#VALUE!</v>
      </c>
      <c r="V475" s="402" t="e">
        <f t="shared" si="75"/>
        <v>#VALUE!</v>
      </c>
      <c r="W475" s="402" t="e">
        <f t="shared" si="76"/>
        <v>#VALUE!</v>
      </c>
      <c r="X475" s="402" t="e">
        <f t="shared" si="77"/>
        <v>#VALUE!</v>
      </c>
      <c r="Y475" s="402" t="e">
        <f t="shared" si="78"/>
        <v>#VALUE!</v>
      </c>
      <c r="Z475" s="402" t="e">
        <f t="shared" si="79"/>
        <v>#VALUE!</v>
      </c>
      <c r="AA475" s="402" t="e">
        <f t="shared" si="80"/>
        <v>#VALUE!</v>
      </c>
      <c r="AB475" s="669" t="e">
        <f t="shared" si="81"/>
        <v>#VALUE!</v>
      </c>
      <c r="AC475" s="403"/>
    </row>
    <row r="476" spans="2:29" s="121" customFormat="1" outlineLevel="1">
      <c r="B476" s="1167"/>
      <c r="C476" s="1168"/>
      <c r="D476" s="1750" t="s">
        <v>290</v>
      </c>
      <c r="E476" s="1751"/>
      <c r="F476" s="1751"/>
      <c r="G476" s="1752"/>
      <c r="H476" s="835"/>
      <c r="I476" s="1327" t="e">
        <f t="shared" si="82"/>
        <v>#DIV/0!</v>
      </c>
      <c r="J476" s="736" t="s">
        <v>365</v>
      </c>
      <c r="K476" s="736" t="s">
        <v>365</v>
      </c>
      <c r="L476" s="1330" t="str">
        <f t="shared" si="83"/>
        <v>Non renseigné</v>
      </c>
      <c r="M476" s="736" t="str">
        <f t="shared" si="84"/>
        <v>-</v>
      </c>
      <c r="N476" s="822" t="e">
        <f t="shared" si="85"/>
        <v>#VALUE!</v>
      </c>
      <c r="O476" s="733" t="e">
        <f t="shared" si="86"/>
        <v>#VALUE!</v>
      </c>
      <c r="P476" s="822" t="e">
        <f t="shared" si="87"/>
        <v>#VALUE!</v>
      </c>
      <c r="Q476" s="823"/>
      <c r="R476" s="942"/>
      <c r="S476" s="402" t="e">
        <f t="shared" si="72"/>
        <v>#VALUE!</v>
      </c>
      <c r="T476" s="402" t="e">
        <f t="shared" si="73"/>
        <v>#VALUE!</v>
      </c>
      <c r="U476" s="402" t="e">
        <f t="shared" si="74"/>
        <v>#VALUE!</v>
      </c>
      <c r="V476" s="402" t="e">
        <f t="shared" si="75"/>
        <v>#VALUE!</v>
      </c>
      <c r="W476" s="402" t="e">
        <f t="shared" si="76"/>
        <v>#VALUE!</v>
      </c>
      <c r="X476" s="402" t="e">
        <f t="shared" si="77"/>
        <v>#VALUE!</v>
      </c>
      <c r="Y476" s="402" t="e">
        <f t="shared" si="78"/>
        <v>#VALUE!</v>
      </c>
      <c r="Z476" s="402" t="e">
        <f t="shared" si="79"/>
        <v>#VALUE!</v>
      </c>
      <c r="AA476" s="402" t="e">
        <f t="shared" si="80"/>
        <v>#VALUE!</v>
      </c>
      <c r="AB476" s="669" t="e">
        <f t="shared" si="81"/>
        <v>#VALUE!</v>
      </c>
      <c r="AC476" s="403"/>
    </row>
    <row r="477" spans="2:29" s="121" customFormat="1" outlineLevel="1">
      <c r="B477" s="1167"/>
      <c r="C477" s="1168"/>
      <c r="D477" s="1750" t="s">
        <v>290</v>
      </c>
      <c r="E477" s="1751"/>
      <c r="F477" s="1751"/>
      <c r="G477" s="1752"/>
      <c r="H477" s="835"/>
      <c r="I477" s="1327" t="e">
        <f t="shared" si="82"/>
        <v>#DIV/0!</v>
      </c>
      <c r="J477" s="736" t="s">
        <v>365</v>
      </c>
      <c r="K477" s="736" t="s">
        <v>365</v>
      </c>
      <c r="L477" s="1330" t="str">
        <f t="shared" si="83"/>
        <v>Non renseigné</v>
      </c>
      <c r="M477" s="736" t="str">
        <f t="shared" si="84"/>
        <v>-</v>
      </c>
      <c r="N477" s="822" t="e">
        <f t="shared" si="85"/>
        <v>#VALUE!</v>
      </c>
      <c r="O477" s="733" t="e">
        <f t="shared" si="86"/>
        <v>#VALUE!</v>
      </c>
      <c r="P477" s="822" t="e">
        <f t="shared" si="87"/>
        <v>#VALUE!</v>
      </c>
      <c r="Q477" s="823"/>
      <c r="R477" s="942"/>
      <c r="S477" s="402" t="e">
        <f t="shared" si="72"/>
        <v>#VALUE!</v>
      </c>
      <c r="T477" s="402" t="e">
        <f t="shared" si="73"/>
        <v>#VALUE!</v>
      </c>
      <c r="U477" s="402" t="e">
        <f t="shared" si="74"/>
        <v>#VALUE!</v>
      </c>
      <c r="V477" s="402" t="e">
        <f t="shared" si="75"/>
        <v>#VALUE!</v>
      </c>
      <c r="W477" s="402" t="e">
        <f t="shared" si="76"/>
        <v>#VALUE!</v>
      </c>
      <c r="X477" s="402" t="e">
        <f t="shared" si="77"/>
        <v>#VALUE!</v>
      </c>
      <c r="Y477" s="402" t="e">
        <f t="shared" si="78"/>
        <v>#VALUE!</v>
      </c>
      <c r="Z477" s="402" t="e">
        <f t="shared" si="79"/>
        <v>#VALUE!</v>
      </c>
      <c r="AA477" s="402" t="e">
        <f t="shared" si="80"/>
        <v>#VALUE!</v>
      </c>
      <c r="AB477" s="669" t="e">
        <f t="shared" si="81"/>
        <v>#VALUE!</v>
      </c>
      <c r="AC477" s="403"/>
    </row>
    <row r="478" spans="2:29" s="121" customFormat="1" outlineLevel="1">
      <c r="B478" s="1167"/>
      <c r="C478" s="1168"/>
      <c r="D478" s="1750" t="s">
        <v>290</v>
      </c>
      <c r="E478" s="1751"/>
      <c r="F478" s="1751"/>
      <c r="G478" s="1752"/>
      <c r="H478" s="835"/>
      <c r="I478" s="1327" t="e">
        <f t="shared" si="82"/>
        <v>#DIV/0!</v>
      </c>
      <c r="J478" s="736" t="s">
        <v>365</v>
      </c>
      <c r="K478" s="736" t="s">
        <v>365</v>
      </c>
      <c r="L478" s="1330" t="str">
        <f t="shared" si="83"/>
        <v>Non renseigné</v>
      </c>
      <c r="M478" s="736" t="str">
        <f t="shared" si="84"/>
        <v>-</v>
      </c>
      <c r="N478" s="822" t="e">
        <f t="shared" si="85"/>
        <v>#VALUE!</v>
      </c>
      <c r="O478" s="733" t="e">
        <f t="shared" si="86"/>
        <v>#VALUE!</v>
      </c>
      <c r="P478" s="822" t="e">
        <f t="shared" si="87"/>
        <v>#VALUE!</v>
      </c>
      <c r="Q478" s="823"/>
      <c r="R478" s="942"/>
      <c r="S478" s="402" t="e">
        <f t="shared" si="72"/>
        <v>#VALUE!</v>
      </c>
      <c r="T478" s="402" t="e">
        <f t="shared" si="73"/>
        <v>#VALUE!</v>
      </c>
      <c r="U478" s="402" t="e">
        <f t="shared" si="74"/>
        <v>#VALUE!</v>
      </c>
      <c r="V478" s="402" t="e">
        <f t="shared" si="75"/>
        <v>#VALUE!</v>
      </c>
      <c r="W478" s="402" t="e">
        <f t="shared" si="76"/>
        <v>#VALUE!</v>
      </c>
      <c r="X478" s="402" t="e">
        <f t="shared" si="77"/>
        <v>#VALUE!</v>
      </c>
      <c r="Y478" s="402" t="e">
        <f t="shared" si="78"/>
        <v>#VALUE!</v>
      </c>
      <c r="Z478" s="402" t="e">
        <f t="shared" si="79"/>
        <v>#VALUE!</v>
      </c>
      <c r="AA478" s="402" t="e">
        <f t="shared" si="80"/>
        <v>#VALUE!</v>
      </c>
      <c r="AB478" s="669" t="e">
        <f t="shared" si="81"/>
        <v>#VALUE!</v>
      </c>
      <c r="AC478" s="403"/>
    </row>
    <row r="479" spans="2:29" s="121" customFormat="1" outlineLevel="1">
      <c r="B479" s="1167"/>
      <c r="C479" s="1168"/>
      <c r="D479" s="1750" t="s">
        <v>290</v>
      </c>
      <c r="E479" s="1751"/>
      <c r="F479" s="1751"/>
      <c r="G479" s="1752"/>
      <c r="H479" s="835"/>
      <c r="I479" s="1327" t="e">
        <f t="shared" si="82"/>
        <v>#DIV/0!</v>
      </c>
      <c r="J479" s="736" t="s">
        <v>365</v>
      </c>
      <c r="K479" s="736" t="s">
        <v>365</v>
      </c>
      <c r="L479" s="1330" t="str">
        <f t="shared" si="83"/>
        <v>Non renseigné</v>
      </c>
      <c r="M479" s="736" t="str">
        <f t="shared" si="84"/>
        <v>-</v>
      </c>
      <c r="N479" s="822" t="e">
        <f t="shared" si="85"/>
        <v>#VALUE!</v>
      </c>
      <c r="O479" s="733" t="e">
        <f t="shared" si="86"/>
        <v>#VALUE!</v>
      </c>
      <c r="P479" s="822" t="e">
        <f t="shared" si="87"/>
        <v>#VALUE!</v>
      </c>
      <c r="Q479" s="823"/>
      <c r="R479" s="942"/>
      <c r="S479" s="402" t="e">
        <f t="shared" si="72"/>
        <v>#VALUE!</v>
      </c>
      <c r="T479" s="402" t="e">
        <f t="shared" si="73"/>
        <v>#VALUE!</v>
      </c>
      <c r="U479" s="402" t="e">
        <f t="shared" si="74"/>
        <v>#VALUE!</v>
      </c>
      <c r="V479" s="402" t="e">
        <f t="shared" si="75"/>
        <v>#VALUE!</v>
      </c>
      <c r="W479" s="402" t="e">
        <f t="shared" si="76"/>
        <v>#VALUE!</v>
      </c>
      <c r="X479" s="402" t="e">
        <f t="shared" si="77"/>
        <v>#VALUE!</v>
      </c>
      <c r="Y479" s="402" t="e">
        <f t="shared" si="78"/>
        <v>#VALUE!</v>
      </c>
      <c r="Z479" s="402" t="e">
        <f t="shared" si="79"/>
        <v>#VALUE!</v>
      </c>
      <c r="AA479" s="402" t="e">
        <f t="shared" si="80"/>
        <v>#VALUE!</v>
      </c>
      <c r="AB479" s="669" t="e">
        <f t="shared" si="81"/>
        <v>#VALUE!</v>
      </c>
      <c r="AC479" s="403"/>
    </row>
    <row r="480" spans="2:29" outlineLevel="1">
      <c r="B480" s="1167"/>
      <c r="C480" s="1168"/>
      <c r="D480" s="1750" t="s">
        <v>290</v>
      </c>
      <c r="E480" s="1751"/>
      <c r="F480" s="1751"/>
      <c r="G480" s="1752"/>
      <c r="H480" s="835"/>
      <c r="I480" s="1327" t="e">
        <f t="shared" si="82"/>
        <v>#DIV/0!</v>
      </c>
      <c r="J480" s="736" t="s">
        <v>365</v>
      </c>
      <c r="K480" s="736" t="s">
        <v>365</v>
      </c>
      <c r="L480" s="1330" t="str">
        <f t="shared" si="83"/>
        <v>Non renseigné</v>
      </c>
      <c r="M480" s="736" t="str">
        <f t="shared" si="84"/>
        <v>-</v>
      </c>
      <c r="N480" s="822" t="e">
        <f t="shared" si="85"/>
        <v>#VALUE!</v>
      </c>
      <c r="O480" s="733" t="e">
        <f t="shared" si="86"/>
        <v>#VALUE!</v>
      </c>
      <c r="P480" s="822" t="e">
        <f t="shared" si="87"/>
        <v>#VALUE!</v>
      </c>
      <c r="Q480" s="823"/>
      <c r="R480" s="942"/>
      <c r="S480" s="402" t="e">
        <f t="shared" si="72"/>
        <v>#VALUE!</v>
      </c>
      <c r="T480" s="402" t="e">
        <f t="shared" si="73"/>
        <v>#VALUE!</v>
      </c>
      <c r="U480" s="402" t="e">
        <f t="shared" si="74"/>
        <v>#VALUE!</v>
      </c>
      <c r="V480" s="402" t="e">
        <f t="shared" si="75"/>
        <v>#VALUE!</v>
      </c>
      <c r="W480" s="402" t="e">
        <f t="shared" si="76"/>
        <v>#VALUE!</v>
      </c>
      <c r="X480" s="402" t="e">
        <f t="shared" si="77"/>
        <v>#VALUE!</v>
      </c>
      <c r="Y480" s="402" t="e">
        <f t="shared" si="78"/>
        <v>#VALUE!</v>
      </c>
      <c r="Z480" s="402" t="e">
        <f t="shared" si="79"/>
        <v>#VALUE!</v>
      </c>
      <c r="AA480" s="402" t="e">
        <f t="shared" si="80"/>
        <v>#VALUE!</v>
      </c>
      <c r="AB480" s="669" t="e">
        <f t="shared" si="81"/>
        <v>#VALUE!</v>
      </c>
    </row>
    <row r="481" spans="2:29" s="121" customFormat="1" outlineLevel="1">
      <c r="B481" s="1167"/>
      <c r="C481" s="1168"/>
      <c r="D481" s="1750" t="s">
        <v>290</v>
      </c>
      <c r="E481" s="1751"/>
      <c r="F481" s="1751"/>
      <c r="G481" s="1752"/>
      <c r="H481" s="835"/>
      <c r="I481" s="1327" t="e">
        <f t="shared" ref="I481:I490" si="100">H481*(1/Q481)</f>
        <v>#DIV/0!</v>
      </c>
      <c r="J481" s="736" t="s">
        <v>365</v>
      </c>
      <c r="K481" s="736" t="s">
        <v>365</v>
      </c>
      <c r="L481" s="1330" t="str">
        <f t="shared" ref="L481:L490" si="101">IF(D481="Bâtiments avec mise en service N+1",J481+1,J481)</f>
        <v>Non renseigné</v>
      </c>
      <c r="M481" s="736" t="str">
        <f t="shared" ref="M481:M490" si="102">VLOOKUP(K481,$AD$14:$AE$27,2,FALSE)</f>
        <v>-</v>
      </c>
      <c r="N481" s="822" t="e">
        <f t="shared" ref="N481:N490" si="103">H481*(M481/12)*(1/Q481)</f>
        <v>#VALUE!</v>
      </c>
      <c r="O481" s="733" t="e">
        <f t="shared" ref="O481:O490" si="104">12-M481</f>
        <v>#VALUE!</v>
      </c>
      <c r="P481" s="822" t="e">
        <f t="shared" ref="P481:P490" si="105">H481*(O481/12)*(1/Q481)</f>
        <v>#VALUE!</v>
      </c>
      <c r="Q481" s="823"/>
      <c r="R481" s="942"/>
      <c r="S481" s="402" t="e">
        <f t="shared" si="72"/>
        <v>#VALUE!</v>
      </c>
      <c r="T481" s="402" t="e">
        <f t="shared" si="73"/>
        <v>#VALUE!</v>
      </c>
      <c r="U481" s="402" t="e">
        <f t="shared" si="74"/>
        <v>#VALUE!</v>
      </c>
      <c r="V481" s="402" t="e">
        <f t="shared" si="75"/>
        <v>#VALUE!</v>
      </c>
      <c r="W481" s="402" t="e">
        <f t="shared" si="76"/>
        <v>#VALUE!</v>
      </c>
      <c r="X481" s="402" t="e">
        <f t="shared" si="77"/>
        <v>#VALUE!</v>
      </c>
      <c r="Y481" s="402" t="e">
        <f t="shared" si="78"/>
        <v>#VALUE!</v>
      </c>
      <c r="Z481" s="402" t="e">
        <f t="shared" si="79"/>
        <v>#VALUE!</v>
      </c>
      <c r="AA481" s="402" t="e">
        <f t="shared" si="80"/>
        <v>#VALUE!</v>
      </c>
      <c r="AB481" s="669" t="e">
        <f t="shared" si="81"/>
        <v>#VALUE!</v>
      </c>
      <c r="AC481" s="403"/>
    </row>
    <row r="482" spans="2:29" s="121" customFormat="1" outlineLevel="1">
      <c r="B482" s="1167"/>
      <c r="C482" s="1168"/>
      <c r="D482" s="1750" t="s">
        <v>290</v>
      </c>
      <c r="E482" s="1751"/>
      <c r="F482" s="1751"/>
      <c r="G482" s="1752"/>
      <c r="H482" s="835"/>
      <c r="I482" s="1327" t="e">
        <f t="shared" si="100"/>
        <v>#DIV/0!</v>
      </c>
      <c r="J482" s="736" t="s">
        <v>365</v>
      </c>
      <c r="K482" s="736" t="s">
        <v>365</v>
      </c>
      <c r="L482" s="1330" t="str">
        <f t="shared" si="101"/>
        <v>Non renseigné</v>
      </c>
      <c r="M482" s="736" t="str">
        <f t="shared" si="102"/>
        <v>-</v>
      </c>
      <c r="N482" s="822" t="e">
        <f t="shared" si="103"/>
        <v>#VALUE!</v>
      </c>
      <c r="O482" s="733" t="e">
        <f t="shared" si="104"/>
        <v>#VALUE!</v>
      </c>
      <c r="P482" s="822" t="e">
        <f t="shared" si="105"/>
        <v>#VALUE!</v>
      </c>
      <c r="Q482" s="823"/>
      <c r="R482" s="942"/>
      <c r="S482" s="402" t="e">
        <f t="shared" si="72"/>
        <v>#VALUE!</v>
      </c>
      <c r="T482" s="402" t="e">
        <f t="shared" si="73"/>
        <v>#VALUE!</v>
      </c>
      <c r="U482" s="402" t="e">
        <f t="shared" si="74"/>
        <v>#VALUE!</v>
      </c>
      <c r="V482" s="402" t="e">
        <f t="shared" si="75"/>
        <v>#VALUE!</v>
      </c>
      <c r="W482" s="402" t="e">
        <f t="shared" si="76"/>
        <v>#VALUE!</v>
      </c>
      <c r="X482" s="402" t="e">
        <f t="shared" si="77"/>
        <v>#VALUE!</v>
      </c>
      <c r="Y482" s="402" t="e">
        <f t="shared" si="78"/>
        <v>#VALUE!</v>
      </c>
      <c r="Z482" s="402" t="e">
        <f t="shared" si="79"/>
        <v>#VALUE!</v>
      </c>
      <c r="AA482" s="402" t="e">
        <f t="shared" si="80"/>
        <v>#VALUE!</v>
      </c>
      <c r="AB482" s="669" t="e">
        <f t="shared" si="81"/>
        <v>#VALUE!</v>
      </c>
      <c r="AC482" s="403"/>
    </row>
    <row r="483" spans="2:29" s="121" customFormat="1" outlineLevel="1">
      <c r="B483" s="1167"/>
      <c r="C483" s="1168"/>
      <c r="D483" s="1750" t="s">
        <v>290</v>
      </c>
      <c r="E483" s="1751"/>
      <c r="F483" s="1751"/>
      <c r="G483" s="1752"/>
      <c r="H483" s="835"/>
      <c r="I483" s="1327" t="e">
        <f t="shared" si="100"/>
        <v>#DIV/0!</v>
      </c>
      <c r="J483" s="736" t="s">
        <v>365</v>
      </c>
      <c r="K483" s="736" t="s">
        <v>365</v>
      </c>
      <c r="L483" s="1330" t="str">
        <f t="shared" si="101"/>
        <v>Non renseigné</v>
      </c>
      <c r="M483" s="736" t="str">
        <f t="shared" si="102"/>
        <v>-</v>
      </c>
      <c r="N483" s="822" t="e">
        <f t="shared" si="103"/>
        <v>#VALUE!</v>
      </c>
      <c r="O483" s="733" t="e">
        <f t="shared" si="104"/>
        <v>#VALUE!</v>
      </c>
      <c r="P483" s="822" t="e">
        <f t="shared" si="105"/>
        <v>#VALUE!</v>
      </c>
      <c r="Q483" s="823"/>
      <c r="R483" s="942"/>
      <c r="S483" s="402" t="e">
        <f t="shared" si="72"/>
        <v>#VALUE!</v>
      </c>
      <c r="T483" s="402" t="e">
        <f t="shared" si="73"/>
        <v>#VALUE!</v>
      </c>
      <c r="U483" s="402" t="e">
        <f t="shared" si="74"/>
        <v>#VALUE!</v>
      </c>
      <c r="V483" s="402" t="e">
        <f t="shared" si="75"/>
        <v>#VALUE!</v>
      </c>
      <c r="W483" s="402" t="e">
        <f t="shared" si="76"/>
        <v>#VALUE!</v>
      </c>
      <c r="X483" s="402" t="e">
        <f t="shared" si="77"/>
        <v>#VALUE!</v>
      </c>
      <c r="Y483" s="402" t="e">
        <f t="shared" si="78"/>
        <v>#VALUE!</v>
      </c>
      <c r="Z483" s="402" t="e">
        <f t="shared" si="79"/>
        <v>#VALUE!</v>
      </c>
      <c r="AA483" s="402" t="e">
        <f t="shared" si="80"/>
        <v>#VALUE!</v>
      </c>
      <c r="AB483" s="669" t="e">
        <f t="shared" si="81"/>
        <v>#VALUE!</v>
      </c>
      <c r="AC483" s="403"/>
    </row>
    <row r="484" spans="2:29" s="121" customFormat="1" outlineLevel="1">
      <c r="B484" s="1167"/>
      <c r="C484" s="1168"/>
      <c r="D484" s="1750" t="s">
        <v>290</v>
      </c>
      <c r="E484" s="1751"/>
      <c r="F484" s="1751"/>
      <c r="G484" s="1752"/>
      <c r="H484" s="835"/>
      <c r="I484" s="1327" t="e">
        <f t="shared" si="100"/>
        <v>#DIV/0!</v>
      </c>
      <c r="J484" s="736" t="s">
        <v>365</v>
      </c>
      <c r="K484" s="736" t="s">
        <v>365</v>
      </c>
      <c r="L484" s="1330" t="str">
        <f t="shared" si="101"/>
        <v>Non renseigné</v>
      </c>
      <c r="M484" s="736" t="str">
        <f t="shared" si="102"/>
        <v>-</v>
      </c>
      <c r="N484" s="822" t="e">
        <f t="shared" si="103"/>
        <v>#VALUE!</v>
      </c>
      <c r="O484" s="733" t="e">
        <f t="shared" si="104"/>
        <v>#VALUE!</v>
      </c>
      <c r="P484" s="822" t="e">
        <f t="shared" si="105"/>
        <v>#VALUE!</v>
      </c>
      <c r="Q484" s="823"/>
      <c r="R484" s="942"/>
      <c r="S484" s="402" t="e">
        <f t="shared" si="72"/>
        <v>#VALUE!</v>
      </c>
      <c r="T484" s="402" t="e">
        <f t="shared" si="73"/>
        <v>#VALUE!</v>
      </c>
      <c r="U484" s="402" t="e">
        <f t="shared" si="74"/>
        <v>#VALUE!</v>
      </c>
      <c r="V484" s="402" t="e">
        <f t="shared" si="75"/>
        <v>#VALUE!</v>
      </c>
      <c r="W484" s="402" t="e">
        <f t="shared" si="76"/>
        <v>#VALUE!</v>
      </c>
      <c r="X484" s="402" t="e">
        <f t="shared" si="77"/>
        <v>#VALUE!</v>
      </c>
      <c r="Y484" s="402" t="e">
        <f t="shared" si="78"/>
        <v>#VALUE!</v>
      </c>
      <c r="Z484" s="402" t="e">
        <f t="shared" si="79"/>
        <v>#VALUE!</v>
      </c>
      <c r="AA484" s="402" t="e">
        <f t="shared" si="80"/>
        <v>#VALUE!</v>
      </c>
      <c r="AB484" s="669" t="e">
        <f t="shared" si="81"/>
        <v>#VALUE!</v>
      </c>
      <c r="AC484" s="403"/>
    </row>
    <row r="485" spans="2:29" s="121" customFormat="1" outlineLevel="1">
      <c r="B485" s="1167"/>
      <c r="C485" s="1168"/>
      <c r="D485" s="1750" t="s">
        <v>290</v>
      </c>
      <c r="E485" s="1751"/>
      <c r="F485" s="1751"/>
      <c r="G485" s="1752"/>
      <c r="H485" s="835"/>
      <c r="I485" s="1327" t="e">
        <f t="shared" si="100"/>
        <v>#DIV/0!</v>
      </c>
      <c r="J485" s="736" t="s">
        <v>365</v>
      </c>
      <c r="K485" s="736" t="s">
        <v>365</v>
      </c>
      <c r="L485" s="1330" t="str">
        <f t="shared" si="101"/>
        <v>Non renseigné</v>
      </c>
      <c r="M485" s="736" t="str">
        <f t="shared" si="102"/>
        <v>-</v>
      </c>
      <c r="N485" s="822" t="e">
        <f t="shared" si="103"/>
        <v>#VALUE!</v>
      </c>
      <c r="O485" s="733" t="e">
        <f t="shared" si="104"/>
        <v>#VALUE!</v>
      </c>
      <c r="P485" s="822" t="e">
        <f t="shared" si="105"/>
        <v>#VALUE!</v>
      </c>
      <c r="Q485" s="823"/>
      <c r="R485" s="942"/>
      <c r="S485" s="402" t="e">
        <f t="shared" si="72"/>
        <v>#VALUE!</v>
      </c>
      <c r="T485" s="402" t="e">
        <f t="shared" si="73"/>
        <v>#VALUE!</v>
      </c>
      <c r="U485" s="402" t="e">
        <f t="shared" si="74"/>
        <v>#VALUE!</v>
      </c>
      <c r="V485" s="402" t="e">
        <f t="shared" si="75"/>
        <v>#VALUE!</v>
      </c>
      <c r="W485" s="402" t="e">
        <f t="shared" si="76"/>
        <v>#VALUE!</v>
      </c>
      <c r="X485" s="402" t="e">
        <f t="shared" si="77"/>
        <v>#VALUE!</v>
      </c>
      <c r="Y485" s="402" t="e">
        <f t="shared" si="78"/>
        <v>#VALUE!</v>
      </c>
      <c r="Z485" s="402" t="e">
        <f t="shared" si="79"/>
        <v>#VALUE!</v>
      </c>
      <c r="AA485" s="402" t="e">
        <f t="shared" si="80"/>
        <v>#VALUE!</v>
      </c>
      <c r="AB485" s="669" t="e">
        <f t="shared" si="81"/>
        <v>#VALUE!</v>
      </c>
      <c r="AC485" s="403"/>
    </row>
    <row r="486" spans="2:29" s="121" customFormat="1" outlineLevel="1">
      <c r="B486" s="1167"/>
      <c r="C486" s="1168"/>
      <c r="D486" s="1750" t="s">
        <v>290</v>
      </c>
      <c r="E486" s="1751"/>
      <c r="F486" s="1751"/>
      <c r="G486" s="1752"/>
      <c r="H486" s="835"/>
      <c r="I486" s="1327" t="e">
        <f t="shared" si="100"/>
        <v>#DIV/0!</v>
      </c>
      <c r="J486" s="736" t="s">
        <v>365</v>
      </c>
      <c r="K486" s="736" t="s">
        <v>365</v>
      </c>
      <c r="L486" s="1330" t="str">
        <f t="shared" si="101"/>
        <v>Non renseigné</v>
      </c>
      <c r="M486" s="736" t="str">
        <f t="shared" si="102"/>
        <v>-</v>
      </c>
      <c r="N486" s="822" t="e">
        <f t="shared" si="103"/>
        <v>#VALUE!</v>
      </c>
      <c r="O486" s="733" t="e">
        <f t="shared" si="104"/>
        <v>#VALUE!</v>
      </c>
      <c r="P486" s="822" t="e">
        <f t="shared" si="105"/>
        <v>#VALUE!</v>
      </c>
      <c r="Q486" s="823"/>
      <c r="R486" s="942"/>
      <c r="S486" s="402" t="e">
        <f t="shared" si="72"/>
        <v>#VALUE!</v>
      </c>
      <c r="T486" s="402" t="e">
        <f t="shared" si="73"/>
        <v>#VALUE!</v>
      </c>
      <c r="U486" s="402" t="e">
        <f t="shared" si="74"/>
        <v>#VALUE!</v>
      </c>
      <c r="V486" s="402" t="e">
        <f t="shared" si="75"/>
        <v>#VALUE!</v>
      </c>
      <c r="W486" s="402" t="e">
        <f t="shared" si="76"/>
        <v>#VALUE!</v>
      </c>
      <c r="X486" s="402" t="e">
        <f t="shared" si="77"/>
        <v>#VALUE!</v>
      </c>
      <c r="Y486" s="402" t="e">
        <f t="shared" si="78"/>
        <v>#VALUE!</v>
      </c>
      <c r="Z486" s="402" t="e">
        <f t="shared" si="79"/>
        <v>#VALUE!</v>
      </c>
      <c r="AA486" s="402" t="e">
        <f t="shared" si="80"/>
        <v>#VALUE!</v>
      </c>
      <c r="AB486" s="669" t="e">
        <f t="shared" si="81"/>
        <v>#VALUE!</v>
      </c>
      <c r="AC486" s="403"/>
    </row>
    <row r="487" spans="2:29" s="121" customFormat="1" outlineLevel="1">
      <c r="B487" s="1167"/>
      <c r="C487" s="1168"/>
      <c r="D487" s="1750" t="s">
        <v>290</v>
      </c>
      <c r="E487" s="1751"/>
      <c r="F487" s="1751"/>
      <c r="G487" s="1752"/>
      <c r="H487" s="835"/>
      <c r="I487" s="1327" t="e">
        <f t="shared" si="100"/>
        <v>#DIV/0!</v>
      </c>
      <c r="J487" s="736" t="s">
        <v>365</v>
      </c>
      <c r="K487" s="736" t="s">
        <v>365</v>
      </c>
      <c r="L487" s="1330" t="str">
        <f t="shared" si="101"/>
        <v>Non renseigné</v>
      </c>
      <c r="M487" s="736" t="str">
        <f t="shared" si="102"/>
        <v>-</v>
      </c>
      <c r="N487" s="822" t="e">
        <f t="shared" si="103"/>
        <v>#VALUE!</v>
      </c>
      <c r="O487" s="733" t="e">
        <f t="shared" si="104"/>
        <v>#VALUE!</v>
      </c>
      <c r="P487" s="822" t="e">
        <f t="shared" si="105"/>
        <v>#VALUE!</v>
      </c>
      <c r="Q487" s="823"/>
      <c r="R487" s="942"/>
      <c r="S487" s="402" t="e">
        <f t="shared" si="72"/>
        <v>#VALUE!</v>
      </c>
      <c r="T487" s="402" t="e">
        <f t="shared" si="73"/>
        <v>#VALUE!</v>
      </c>
      <c r="U487" s="402" t="e">
        <f t="shared" si="74"/>
        <v>#VALUE!</v>
      </c>
      <c r="V487" s="402" t="e">
        <f t="shared" si="75"/>
        <v>#VALUE!</v>
      </c>
      <c r="W487" s="402" t="e">
        <f t="shared" si="76"/>
        <v>#VALUE!</v>
      </c>
      <c r="X487" s="402" t="e">
        <f t="shared" si="77"/>
        <v>#VALUE!</v>
      </c>
      <c r="Y487" s="402" t="e">
        <f t="shared" si="78"/>
        <v>#VALUE!</v>
      </c>
      <c r="Z487" s="402" t="e">
        <f t="shared" si="79"/>
        <v>#VALUE!</v>
      </c>
      <c r="AA487" s="402" t="e">
        <f t="shared" si="80"/>
        <v>#VALUE!</v>
      </c>
      <c r="AB487" s="669" t="e">
        <f t="shared" si="81"/>
        <v>#VALUE!</v>
      </c>
      <c r="AC487" s="403"/>
    </row>
    <row r="488" spans="2:29" s="121" customFormat="1" outlineLevel="1">
      <c r="B488" s="1167"/>
      <c r="C488" s="1168"/>
      <c r="D488" s="1750" t="s">
        <v>290</v>
      </c>
      <c r="E488" s="1751"/>
      <c r="F488" s="1751"/>
      <c r="G488" s="1752"/>
      <c r="H488" s="835"/>
      <c r="I488" s="1327" t="e">
        <f t="shared" si="100"/>
        <v>#DIV/0!</v>
      </c>
      <c r="J488" s="736" t="s">
        <v>365</v>
      </c>
      <c r="K488" s="736" t="s">
        <v>365</v>
      </c>
      <c r="L488" s="1330" t="str">
        <f t="shared" si="101"/>
        <v>Non renseigné</v>
      </c>
      <c r="M488" s="736" t="str">
        <f t="shared" si="102"/>
        <v>-</v>
      </c>
      <c r="N488" s="822" t="e">
        <f t="shared" si="103"/>
        <v>#VALUE!</v>
      </c>
      <c r="O488" s="733" t="e">
        <f t="shared" si="104"/>
        <v>#VALUE!</v>
      </c>
      <c r="P488" s="822" t="e">
        <f t="shared" si="105"/>
        <v>#VALUE!</v>
      </c>
      <c r="Q488" s="823"/>
      <c r="R488" s="942"/>
      <c r="S488" s="402" t="e">
        <f t="shared" si="72"/>
        <v>#VALUE!</v>
      </c>
      <c r="T488" s="402" t="e">
        <f t="shared" si="73"/>
        <v>#VALUE!</v>
      </c>
      <c r="U488" s="402" t="e">
        <f t="shared" si="74"/>
        <v>#VALUE!</v>
      </c>
      <c r="V488" s="402" t="e">
        <f t="shared" si="75"/>
        <v>#VALUE!</v>
      </c>
      <c r="W488" s="402" t="e">
        <f t="shared" si="76"/>
        <v>#VALUE!</v>
      </c>
      <c r="X488" s="402" t="e">
        <f t="shared" si="77"/>
        <v>#VALUE!</v>
      </c>
      <c r="Y488" s="402" t="e">
        <f t="shared" si="78"/>
        <v>#VALUE!</v>
      </c>
      <c r="Z488" s="402" t="e">
        <f t="shared" si="79"/>
        <v>#VALUE!</v>
      </c>
      <c r="AA488" s="402" t="e">
        <f t="shared" si="80"/>
        <v>#VALUE!</v>
      </c>
      <c r="AB488" s="669" t="e">
        <f t="shared" si="81"/>
        <v>#VALUE!</v>
      </c>
      <c r="AC488" s="403"/>
    </row>
    <row r="489" spans="2:29" s="121" customFormat="1" outlineLevel="1">
      <c r="B489" s="1167"/>
      <c r="C489" s="1168"/>
      <c r="D489" s="1750" t="s">
        <v>290</v>
      </c>
      <c r="E489" s="1751"/>
      <c r="F489" s="1751"/>
      <c r="G489" s="1752"/>
      <c r="H489" s="835"/>
      <c r="I489" s="1327" t="e">
        <f t="shared" si="100"/>
        <v>#DIV/0!</v>
      </c>
      <c r="J489" s="736" t="s">
        <v>365</v>
      </c>
      <c r="K489" s="736" t="s">
        <v>365</v>
      </c>
      <c r="L489" s="1330" t="str">
        <f t="shared" si="101"/>
        <v>Non renseigné</v>
      </c>
      <c r="M489" s="736" t="str">
        <f t="shared" si="102"/>
        <v>-</v>
      </c>
      <c r="N489" s="822" t="e">
        <f t="shared" si="103"/>
        <v>#VALUE!</v>
      </c>
      <c r="O489" s="733" t="e">
        <f t="shared" si="104"/>
        <v>#VALUE!</v>
      </c>
      <c r="P489" s="822" t="e">
        <f t="shared" si="105"/>
        <v>#VALUE!</v>
      </c>
      <c r="Q489" s="823"/>
      <c r="R489" s="942"/>
      <c r="S489" s="402" t="e">
        <f t="shared" si="72"/>
        <v>#VALUE!</v>
      </c>
      <c r="T489" s="402" t="e">
        <f t="shared" si="73"/>
        <v>#VALUE!</v>
      </c>
      <c r="U489" s="402" t="e">
        <f t="shared" si="74"/>
        <v>#VALUE!</v>
      </c>
      <c r="V489" s="402" t="e">
        <f t="shared" si="75"/>
        <v>#VALUE!</v>
      </c>
      <c r="W489" s="402" t="e">
        <f t="shared" si="76"/>
        <v>#VALUE!</v>
      </c>
      <c r="X489" s="402" t="e">
        <f t="shared" si="77"/>
        <v>#VALUE!</v>
      </c>
      <c r="Y489" s="402" t="e">
        <f t="shared" si="78"/>
        <v>#VALUE!</v>
      </c>
      <c r="Z489" s="402" t="e">
        <f t="shared" si="79"/>
        <v>#VALUE!</v>
      </c>
      <c r="AA489" s="402" t="e">
        <f t="shared" si="80"/>
        <v>#VALUE!</v>
      </c>
      <c r="AB489" s="669" t="e">
        <f t="shared" si="81"/>
        <v>#VALUE!</v>
      </c>
      <c r="AC489" s="403"/>
    </row>
    <row r="490" spans="2:29" outlineLevel="1">
      <c r="B490" s="1167"/>
      <c r="C490" s="1168"/>
      <c r="D490" s="1750" t="s">
        <v>290</v>
      </c>
      <c r="E490" s="1751"/>
      <c r="F490" s="1751"/>
      <c r="G490" s="1752"/>
      <c r="H490" s="835"/>
      <c r="I490" s="1327" t="e">
        <f t="shared" si="100"/>
        <v>#DIV/0!</v>
      </c>
      <c r="J490" s="736" t="s">
        <v>365</v>
      </c>
      <c r="K490" s="736" t="s">
        <v>365</v>
      </c>
      <c r="L490" s="1330" t="str">
        <f t="shared" si="101"/>
        <v>Non renseigné</v>
      </c>
      <c r="M490" s="736" t="str">
        <f t="shared" si="102"/>
        <v>-</v>
      </c>
      <c r="N490" s="822" t="e">
        <f t="shared" si="103"/>
        <v>#VALUE!</v>
      </c>
      <c r="O490" s="733" t="e">
        <f t="shared" si="104"/>
        <v>#VALUE!</v>
      </c>
      <c r="P490" s="822" t="e">
        <f t="shared" si="105"/>
        <v>#VALUE!</v>
      </c>
      <c r="Q490" s="823"/>
      <c r="R490" s="942"/>
      <c r="S490" s="402" t="e">
        <f t="shared" si="72"/>
        <v>#VALUE!</v>
      </c>
      <c r="T490" s="402" t="e">
        <f t="shared" si="73"/>
        <v>#VALUE!</v>
      </c>
      <c r="U490" s="402" t="e">
        <f t="shared" si="74"/>
        <v>#VALUE!</v>
      </c>
      <c r="V490" s="402" t="e">
        <f t="shared" si="75"/>
        <v>#VALUE!</v>
      </c>
      <c r="W490" s="402" t="e">
        <f t="shared" si="76"/>
        <v>#VALUE!</v>
      </c>
      <c r="X490" s="402" t="e">
        <f t="shared" si="77"/>
        <v>#VALUE!</v>
      </c>
      <c r="Y490" s="402" t="e">
        <f t="shared" si="78"/>
        <v>#VALUE!</v>
      </c>
      <c r="Z490" s="402" t="e">
        <f t="shared" si="79"/>
        <v>#VALUE!</v>
      </c>
      <c r="AA490" s="402" t="e">
        <f t="shared" si="80"/>
        <v>#VALUE!</v>
      </c>
      <c r="AB490" s="669" t="e">
        <f t="shared" si="81"/>
        <v>#VALUE!</v>
      </c>
    </row>
    <row r="491" spans="2:29" s="121" customFormat="1" outlineLevel="1">
      <c r="B491" s="1167"/>
      <c r="C491" s="1168"/>
      <c r="D491" s="1750" t="s">
        <v>290</v>
      </c>
      <c r="E491" s="1751"/>
      <c r="F491" s="1751"/>
      <c r="G491" s="1752"/>
      <c r="H491" s="835"/>
      <c r="I491" s="1327" t="e">
        <f t="shared" si="82"/>
        <v>#DIV/0!</v>
      </c>
      <c r="J491" s="736" t="s">
        <v>365</v>
      </c>
      <c r="K491" s="736" t="s">
        <v>365</v>
      </c>
      <c r="L491" s="1330" t="str">
        <f t="shared" si="83"/>
        <v>Non renseigné</v>
      </c>
      <c r="M491" s="736" t="str">
        <f t="shared" si="84"/>
        <v>-</v>
      </c>
      <c r="N491" s="822" t="e">
        <f t="shared" si="85"/>
        <v>#VALUE!</v>
      </c>
      <c r="O491" s="733" t="e">
        <f t="shared" si="86"/>
        <v>#VALUE!</v>
      </c>
      <c r="P491" s="822" t="e">
        <f t="shared" si="87"/>
        <v>#VALUE!</v>
      </c>
      <c r="Q491" s="823"/>
      <c r="R491" s="942"/>
      <c r="S491" s="402" t="e">
        <f t="shared" si="72"/>
        <v>#VALUE!</v>
      </c>
      <c r="T491" s="402" t="e">
        <f t="shared" si="73"/>
        <v>#VALUE!</v>
      </c>
      <c r="U491" s="402" t="e">
        <f t="shared" si="74"/>
        <v>#VALUE!</v>
      </c>
      <c r="V491" s="402" t="e">
        <f t="shared" si="75"/>
        <v>#VALUE!</v>
      </c>
      <c r="W491" s="402" t="e">
        <f t="shared" si="76"/>
        <v>#VALUE!</v>
      </c>
      <c r="X491" s="402" t="e">
        <f t="shared" si="77"/>
        <v>#VALUE!</v>
      </c>
      <c r="Y491" s="402" t="e">
        <f t="shared" si="78"/>
        <v>#VALUE!</v>
      </c>
      <c r="Z491" s="402" t="e">
        <f t="shared" si="79"/>
        <v>#VALUE!</v>
      </c>
      <c r="AA491" s="402" t="e">
        <f t="shared" si="80"/>
        <v>#VALUE!</v>
      </c>
      <c r="AB491" s="669" t="e">
        <f t="shared" si="81"/>
        <v>#VALUE!</v>
      </c>
      <c r="AC491" s="403"/>
    </row>
    <row r="492" spans="2:29" s="121" customFormat="1" outlineLevel="1">
      <c r="B492" s="1167"/>
      <c r="C492" s="1168"/>
      <c r="D492" s="1750" t="s">
        <v>290</v>
      </c>
      <c r="E492" s="1751"/>
      <c r="F492" s="1751"/>
      <c r="G492" s="1752"/>
      <c r="H492" s="835"/>
      <c r="I492" s="1327" t="e">
        <f t="shared" si="82"/>
        <v>#DIV/0!</v>
      </c>
      <c r="J492" s="736" t="s">
        <v>365</v>
      </c>
      <c r="K492" s="736" t="s">
        <v>365</v>
      </c>
      <c r="L492" s="1330" t="str">
        <f t="shared" si="83"/>
        <v>Non renseigné</v>
      </c>
      <c r="M492" s="736" t="str">
        <f t="shared" si="84"/>
        <v>-</v>
      </c>
      <c r="N492" s="822" t="e">
        <f t="shared" si="85"/>
        <v>#VALUE!</v>
      </c>
      <c r="O492" s="733" t="e">
        <f t="shared" si="86"/>
        <v>#VALUE!</v>
      </c>
      <c r="P492" s="822" t="e">
        <f t="shared" si="87"/>
        <v>#VALUE!</v>
      </c>
      <c r="Q492" s="823"/>
      <c r="R492" s="942"/>
      <c r="S492" s="402" t="e">
        <f t="shared" si="72"/>
        <v>#VALUE!</v>
      </c>
      <c r="T492" s="402" t="e">
        <f t="shared" si="73"/>
        <v>#VALUE!</v>
      </c>
      <c r="U492" s="402" t="e">
        <f t="shared" si="74"/>
        <v>#VALUE!</v>
      </c>
      <c r="V492" s="402" t="e">
        <f t="shared" si="75"/>
        <v>#VALUE!</v>
      </c>
      <c r="W492" s="402" t="e">
        <f t="shared" si="76"/>
        <v>#VALUE!</v>
      </c>
      <c r="X492" s="402" t="e">
        <f t="shared" si="77"/>
        <v>#VALUE!</v>
      </c>
      <c r="Y492" s="402" t="e">
        <f t="shared" si="78"/>
        <v>#VALUE!</v>
      </c>
      <c r="Z492" s="402" t="e">
        <f t="shared" si="79"/>
        <v>#VALUE!</v>
      </c>
      <c r="AA492" s="402" t="e">
        <f t="shared" si="80"/>
        <v>#VALUE!</v>
      </c>
      <c r="AB492" s="669" t="e">
        <f t="shared" si="81"/>
        <v>#VALUE!</v>
      </c>
      <c r="AC492" s="403"/>
    </row>
    <row r="493" spans="2:29" s="121" customFormat="1" outlineLevel="1">
      <c r="B493" s="1167"/>
      <c r="C493" s="1168"/>
      <c r="D493" s="1750" t="s">
        <v>290</v>
      </c>
      <c r="E493" s="1751"/>
      <c r="F493" s="1751"/>
      <c r="G493" s="1752"/>
      <c r="H493" s="835"/>
      <c r="I493" s="1327" t="e">
        <f t="shared" si="82"/>
        <v>#DIV/0!</v>
      </c>
      <c r="J493" s="736" t="s">
        <v>365</v>
      </c>
      <c r="K493" s="736" t="s">
        <v>365</v>
      </c>
      <c r="L493" s="1330" t="str">
        <f t="shared" si="83"/>
        <v>Non renseigné</v>
      </c>
      <c r="M493" s="736" t="str">
        <f t="shared" si="84"/>
        <v>-</v>
      </c>
      <c r="N493" s="822" t="e">
        <f t="shared" si="85"/>
        <v>#VALUE!</v>
      </c>
      <c r="O493" s="733" t="e">
        <f t="shared" si="86"/>
        <v>#VALUE!</v>
      </c>
      <c r="P493" s="822" t="e">
        <f t="shared" si="87"/>
        <v>#VALUE!</v>
      </c>
      <c r="Q493" s="823"/>
      <c r="R493" s="942"/>
      <c r="S493" s="402" t="e">
        <f t="shared" si="72"/>
        <v>#VALUE!</v>
      </c>
      <c r="T493" s="402" t="e">
        <f t="shared" si="73"/>
        <v>#VALUE!</v>
      </c>
      <c r="U493" s="402" t="e">
        <f t="shared" si="74"/>
        <v>#VALUE!</v>
      </c>
      <c r="V493" s="402" t="e">
        <f t="shared" si="75"/>
        <v>#VALUE!</v>
      </c>
      <c r="W493" s="402" t="e">
        <f t="shared" si="76"/>
        <v>#VALUE!</v>
      </c>
      <c r="X493" s="402" t="e">
        <f t="shared" si="77"/>
        <v>#VALUE!</v>
      </c>
      <c r="Y493" s="402" t="e">
        <f t="shared" si="78"/>
        <v>#VALUE!</v>
      </c>
      <c r="Z493" s="402" t="e">
        <f t="shared" si="79"/>
        <v>#VALUE!</v>
      </c>
      <c r="AA493" s="402" t="e">
        <f t="shared" si="80"/>
        <v>#VALUE!</v>
      </c>
      <c r="AB493" s="669" t="e">
        <f t="shared" si="81"/>
        <v>#VALUE!</v>
      </c>
      <c r="AC493" s="403"/>
    </row>
    <row r="494" spans="2:29" s="121" customFormat="1" outlineLevel="1">
      <c r="B494" s="1167"/>
      <c r="C494" s="1168"/>
      <c r="D494" s="1750" t="s">
        <v>290</v>
      </c>
      <c r="E494" s="1751"/>
      <c r="F494" s="1751"/>
      <c r="G494" s="1752"/>
      <c r="H494" s="835"/>
      <c r="I494" s="1327" t="e">
        <f t="shared" si="82"/>
        <v>#DIV/0!</v>
      </c>
      <c r="J494" s="736" t="s">
        <v>365</v>
      </c>
      <c r="K494" s="736" t="s">
        <v>365</v>
      </c>
      <c r="L494" s="1330" t="str">
        <f t="shared" si="83"/>
        <v>Non renseigné</v>
      </c>
      <c r="M494" s="736" t="str">
        <f t="shared" si="84"/>
        <v>-</v>
      </c>
      <c r="N494" s="822" t="e">
        <f t="shared" si="85"/>
        <v>#VALUE!</v>
      </c>
      <c r="O494" s="733" t="e">
        <f t="shared" si="86"/>
        <v>#VALUE!</v>
      </c>
      <c r="P494" s="822" t="e">
        <f t="shared" si="87"/>
        <v>#VALUE!</v>
      </c>
      <c r="Q494" s="823"/>
      <c r="R494" s="942"/>
      <c r="S494" s="402" t="e">
        <f t="shared" si="72"/>
        <v>#VALUE!</v>
      </c>
      <c r="T494" s="402" t="e">
        <f t="shared" si="73"/>
        <v>#VALUE!</v>
      </c>
      <c r="U494" s="402" t="e">
        <f t="shared" si="74"/>
        <v>#VALUE!</v>
      </c>
      <c r="V494" s="402" t="e">
        <f t="shared" si="75"/>
        <v>#VALUE!</v>
      </c>
      <c r="W494" s="402" t="e">
        <f t="shared" si="76"/>
        <v>#VALUE!</v>
      </c>
      <c r="X494" s="402" t="e">
        <f t="shared" si="77"/>
        <v>#VALUE!</v>
      </c>
      <c r="Y494" s="402" t="e">
        <f t="shared" si="78"/>
        <v>#VALUE!</v>
      </c>
      <c r="Z494" s="402" t="e">
        <f t="shared" si="79"/>
        <v>#VALUE!</v>
      </c>
      <c r="AA494" s="402" t="e">
        <f t="shared" si="80"/>
        <v>#VALUE!</v>
      </c>
      <c r="AB494" s="669" t="e">
        <f t="shared" si="81"/>
        <v>#VALUE!</v>
      </c>
      <c r="AC494" s="403"/>
    </row>
    <row r="495" spans="2:29" s="121" customFormat="1" outlineLevel="1">
      <c r="B495" s="1167"/>
      <c r="C495" s="1168"/>
      <c r="D495" s="1750" t="s">
        <v>290</v>
      </c>
      <c r="E495" s="1751"/>
      <c r="F495" s="1751"/>
      <c r="G495" s="1752"/>
      <c r="H495" s="835"/>
      <c r="I495" s="1327" t="e">
        <f t="shared" si="82"/>
        <v>#DIV/0!</v>
      </c>
      <c r="J495" s="736" t="s">
        <v>365</v>
      </c>
      <c r="K495" s="736" t="s">
        <v>365</v>
      </c>
      <c r="L495" s="1330" t="str">
        <f t="shared" si="83"/>
        <v>Non renseigné</v>
      </c>
      <c r="M495" s="736" t="str">
        <f t="shared" si="84"/>
        <v>-</v>
      </c>
      <c r="N495" s="822" t="e">
        <f t="shared" si="85"/>
        <v>#VALUE!</v>
      </c>
      <c r="O495" s="733" t="e">
        <f t="shared" si="86"/>
        <v>#VALUE!</v>
      </c>
      <c r="P495" s="822" t="e">
        <f t="shared" si="87"/>
        <v>#VALUE!</v>
      </c>
      <c r="Q495" s="823"/>
      <c r="R495" s="942"/>
      <c r="S495" s="402" t="e">
        <f t="shared" si="72"/>
        <v>#VALUE!</v>
      </c>
      <c r="T495" s="402" t="e">
        <f t="shared" si="73"/>
        <v>#VALUE!</v>
      </c>
      <c r="U495" s="402" t="e">
        <f t="shared" si="74"/>
        <v>#VALUE!</v>
      </c>
      <c r="V495" s="402" t="e">
        <f t="shared" si="75"/>
        <v>#VALUE!</v>
      </c>
      <c r="W495" s="402" t="e">
        <f t="shared" si="76"/>
        <v>#VALUE!</v>
      </c>
      <c r="X495" s="402" t="e">
        <f t="shared" si="77"/>
        <v>#VALUE!</v>
      </c>
      <c r="Y495" s="402" t="e">
        <f t="shared" si="78"/>
        <v>#VALUE!</v>
      </c>
      <c r="Z495" s="402" t="e">
        <f t="shared" si="79"/>
        <v>#VALUE!</v>
      </c>
      <c r="AA495" s="402" t="e">
        <f t="shared" si="80"/>
        <v>#VALUE!</v>
      </c>
      <c r="AB495" s="669" t="e">
        <f t="shared" si="81"/>
        <v>#VALUE!</v>
      </c>
      <c r="AC495" s="403"/>
    </row>
    <row r="496" spans="2:29" s="121" customFormat="1" outlineLevel="1">
      <c r="B496" s="1167"/>
      <c r="C496" s="1168"/>
      <c r="D496" s="1750" t="s">
        <v>290</v>
      </c>
      <c r="E496" s="1751"/>
      <c r="F496" s="1751"/>
      <c r="G496" s="1752"/>
      <c r="H496" s="835"/>
      <c r="I496" s="1327" t="e">
        <f t="shared" si="82"/>
        <v>#DIV/0!</v>
      </c>
      <c r="J496" s="736" t="s">
        <v>365</v>
      </c>
      <c r="K496" s="736" t="s">
        <v>365</v>
      </c>
      <c r="L496" s="1330" t="str">
        <f t="shared" si="83"/>
        <v>Non renseigné</v>
      </c>
      <c r="M496" s="736" t="str">
        <f t="shared" si="84"/>
        <v>-</v>
      </c>
      <c r="N496" s="822" t="e">
        <f t="shared" si="85"/>
        <v>#VALUE!</v>
      </c>
      <c r="O496" s="733" t="e">
        <f t="shared" si="86"/>
        <v>#VALUE!</v>
      </c>
      <c r="P496" s="822" t="e">
        <f t="shared" si="87"/>
        <v>#VALUE!</v>
      </c>
      <c r="Q496" s="823"/>
      <c r="R496" s="942"/>
      <c r="S496" s="402" t="e">
        <f t="shared" si="72"/>
        <v>#VALUE!</v>
      </c>
      <c r="T496" s="402" t="e">
        <f t="shared" si="73"/>
        <v>#VALUE!</v>
      </c>
      <c r="U496" s="402" t="e">
        <f t="shared" si="74"/>
        <v>#VALUE!</v>
      </c>
      <c r="V496" s="402" t="e">
        <f t="shared" si="75"/>
        <v>#VALUE!</v>
      </c>
      <c r="W496" s="402" t="e">
        <f t="shared" si="76"/>
        <v>#VALUE!</v>
      </c>
      <c r="X496" s="402" t="e">
        <f t="shared" si="77"/>
        <v>#VALUE!</v>
      </c>
      <c r="Y496" s="402" t="e">
        <f t="shared" si="78"/>
        <v>#VALUE!</v>
      </c>
      <c r="Z496" s="402" t="e">
        <f t="shared" si="79"/>
        <v>#VALUE!</v>
      </c>
      <c r="AA496" s="402" t="e">
        <f t="shared" si="80"/>
        <v>#VALUE!</v>
      </c>
      <c r="AB496" s="669" t="e">
        <f t="shared" si="81"/>
        <v>#VALUE!</v>
      </c>
      <c r="AC496" s="403"/>
    </row>
    <row r="497" spans="1:77" s="121" customFormat="1" outlineLevel="1">
      <c r="B497" s="1167"/>
      <c r="C497" s="1168"/>
      <c r="D497" s="1750" t="s">
        <v>290</v>
      </c>
      <c r="E497" s="1751"/>
      <c r="F497" s="1751"/>
      <c r="G497" s="1752"/>
      <c r="H497" s="835"/>
      <c r="I497" s="1327" t="e">
        <f t="shared" si="82"/>
        <v>#DIV/0!</v>
      </c>
      <c r="J497" s="736" t="s">
        <v>365</v>
      </c>
      <c r="K497" s="736" t="s">
        <v>365</v>
      </c>
      <c r="L497" s="1330" t="str">
        <f t="shared" si="83"/>
        <v>Non renseigné</v>
      </c>
      <c r="M497" s="736" t="str">
        <f t="shared" si="84"/>
        <v>-</v>
      </c>
      <c r="N497" s="822" t="e">
        <f t="shared" si="85"/>
        <v>#VALUE!</v>
      </c>
      <c r="O497" s="733" t="e">
        <f t="shared" si="86"/>
        <v>#VALUE!</v>
      </c>
      <c r="P497" s="822" t="e">
        <f t="shared" si="87"/>
        <v>#VALUE!</v>
      </c>
      <c r="Q497" s="823"/>
      <c r="R497" s="942"/>
      <c r="S497" s="402" t="e">
        <f t="shared" si="72"/>
        <v>#VALUE!</v>
      </c>
      <c r="T497" s="402" t="e">
        <f t="shared" si="73"/>
        <v>#VALUE!</v>
      </c>
      <c r="U497" s="402" t="e">
        <f t="shared" si="74"/>
        <v>#VALUE!</v>
      </c>
      <c r="V497" s="402" t="e">
        <f t="shared" si="75"/>
        <v>#VALUE!</v>
      </c>
      <c r="W497" s="402" t="e">
        <f t="shared" si="76"/>
        <v>#VALUE!</v>
      </c>
      <c r="X497" s="402" t="e">
        <f t="shared" si="77"/>
        <v>#VALUE!</v>
      </c>
      <c r="Y497" s="402" t="e">
        <f t="shared" si="78"/>
        <v>#VALUE!</v>
      </c>
      <c r="Z497" s="402" t="e">
        <f t="shared" si="79"/>
        <v>#VALUE!</v>
      </c>
      <c r="AA497" s="402" t="e">
        <f t="shared" si="80"/>
        <v>#VALUE!</v>
      </c>
      <c r="AB497" s="669" t="e">
        <f t="shared" si="81"/>
        <v>#VALUE!</v>
      </c>
      <c r="AC497" s="403"/>
    </row>
    <row r="498" spans="1:77" s="121" customFormat="1" outlineLevel="1">
      <c r="B498" s="1167"/>
      <c r="C498" s="1168"/>
      <c r="D498" s="1750" t="s">
        <v>290</v>
      </c>
      <c r="E498" s="1751"/>
      <c r="F498" s="1751"/>
      <c r="G498" s="1752"/>
      <c r="H498" s="835"/>
      <c r="I498" s="1327" t="e">
        <f t="shared" si="82"/>
        <v>#DIV/0!</v>
      </c>
      <c r="J498" s="736" t="s">
        <v>365</v>
      </c>
      <c r="K498" s="736" t="s">
        <v>365</v>
      </c>
      <c r="L498" s="1330" t="str">
        <f t="shared" si="83"/>
        <v>Non renseigné</v>
      </c>
      <c r="M498" s="736" t="str">
        <f t="shared" si="84"/>
        <v>-</v>
      </c>
      <c r="N498" s="822" t="e">
        <f t="shared" si="85"/>
        <v>#VALUE!</v>
      </c>
      <c r="O498" s="733" t="e">
        <f t="shared" si="86"/>
        <v>#VALUE!</v>
      </c>
      <c r="P498" s="822" t="e">
        <f t="shared" si="87"/>
        <v>#VALUE!</v>
      </c>
      <c r="Q498" s="823"/>
      <c r="R498" s="942"/>
      <c r="S498" s="402" t="e">
        <f t="shared" si="72"/>
        <v>#VALUE!</v>
      </c>
      <c r="T498" s="402" t="e">
        <f t="shared" si="73"/>
        <v>#VALUE!</v>
      </c>
      <c r="U498" s="402" t="e">
        <f t="shared" si="74"/>
        <v>#VALUE!</v>
      </c>
      <c r="V498" s="402" t="e">
        <f t="shared" si="75"/>
        <v>#VALUE!</v>
      </c>
      <c r="W498" s="402" t="e">
        <f t="shared" si="76"/>
        <v>#VALUE!</v>
      </c>
      <c r="X498" s="402" t="e">
        <f t="shared" si="77"/>
        <v>#VALUE!</v>
      </c>
      <c r="Y498" s="402" t="e">
        <f t="shared" si="78"/>
        <v>#VALUE!</v>
      </c>
      <c r="Z498" s="402" t="e">
        <f t="shared" si="79"/>
        <v>#VALUE!</v>
      </c>
      <c r="AA498" s="402" t="e">
        <f t="shared" si="80"/>
        <v>#VALUE!</v>
      </c>
      <c r="AB498" s="669" t="e">
        <f t="shared" si="81"/>
        <v>#VALUE!</v>
      </c>
      <c r="AC498" s="403"/>
    </row>
    <row r="499" spans="1:77" s="121" customFormat="1" outlineLevel="1">
      <c r="B499" s="1167"/>
      <c r="C499" s="1168"/>
      <c r="D499" s="1750" t="s">
        <v>290</v>
      </c>
      <c r="E499" s="1751"/>
      <c r="F499" s="1751"/>
      <c r="G499" s="1752"/>
      <c r="H499" s="835"/>
      <c r="I499" s="1327" t="e">
        <f t="shared" si="82"/>
        <v>#DIV/0!</v>
      </c>
      <c r="J499" s="736" t="s">
        <v>365</v>
      </c>
      <c r="K499" s="736" t="s">
        <v>365</v>
      </c>
      <c r="L499" s="1330" t="str">
        <f t="shared" si="83"/>
        <v>Non renseigné</v>
      </c>
      <c r="M499" s="736" t="str">
        <f t="shared" si="84"/>
        <v>-</v>
      </c>
      <c r="N499" s="822" t="e">
        <f t="shared" si="85"/>
        <v>#VALUE!</v>
      </c>
      <c r="O499" s="733" t="e">
        <f t="shared" si="86"/>
        <v>#VALUE!</v>
      </c>
      <c r="P499" s="822" t="e">
        <f t="shared" si="87"/>
        <v>#VALUE!</v>
      </c>
      <c r="Q499" s="823"/>
      <c r="R499" s="942"/>
      <c r="S499" s="402" t="e">
        <f t="shared" si="72"/>
        <v>#VALUE!</v>
      </c>
      <c r="T499" s="402" t="e">
        <f t="shared" si="73"/>
        <v>#VALUE!</v>
      </c>
      <c r="U499" s="402" t="e">
        <f t="shared" si="74"/>
        <v>#VALUE!</v>
      </c>
      <c r="V499" s="402" t="e">
        <f t="shared" si="75"/>
        <v>#VALUE!</v>
      </c>
      <c r="W499" s="402" t="e">
        <f t="shared" si="76"/>
        <v>#VALUE!</v>
      </c>
      <c r="X499" s="402" t="e">
        <f t="shared" si="77"/>
        <v>#VALUE!</v>
      </c>
      <c r="Y499" s="402" t="e">
        <f t="shared" si="78"/>
        <v>#VALUE!</v>
      </c>
      <c r="Z499" s="402" t="e">
        <f t="shared" si="79"/>
        <v>#VALUE!</v>
      </c>
      <c r="AA499" s="402" t="e">
        <f t="shared" si="80"/>
        <v>#VALUE!</v>
      </c>
      <c r="AB499" s="669" t="e">
        <f t="shared" si="81"/>
        <v>#VALUE!</v>
      </c>
      <c r="AC499" s="403"/>
    </row>
    <row r="500" spans="1:77" outlineLevel="1">
      <c r="B500" s="1170"/>
      <c r="C500" s="1165"/>
      <c r="D500" s="1798" t="s">
        <v>290</v>
      </c>
      <c r="E500" s="1799"/>
      <c r="F500" s="1799"/>
      <c r="G500" s="1800"/>
      <c r="H500" s="1172"/>
      <c r="I500" s="1328" t="e">
        <f t="shared" si="0"/>
        <v>#DIV/0!</v>
      </c>
      <c r="J500" s="394" t="s">
        <v>365</v>
      </c>
      <c r="K500" s="394" t="s">
        <v>365</v>
      </c>
      <c r="L500" s="1331" t="str">
        <f t="shared" si="71"/>
        <v>Non renseigné</v>
      </c>
      <c r="M500" s="394" t="str">
        <f t="shared" si="12"/>
        <v>-</v>
      </c>
      <c r="N500" s="739" t="e">
        <f t="shared" si="13"/>
        <v>#VALUE!</v>
      </c>
      <c r="O500" s="394" t="e">
        <f t="shared" si="14"/>
        <v>#VALUE!</v>
      </c>
      <c r="P500" s="739" t="e">
        <f t="shared" si="15"/>
        <v>#VALUE!</v>
      </c>
      <c r="Q500" s="947"/>
      <c r="R500" s="943"/>
      <c r="S500" s="1052" t="e">
        <f t="shared" si="72"/>
        <v>#VALUE!</v>
      </c>
      <c r="T500" s="1052" t="e">
        <f t="shared" si="73"/>
        <v>#VALUE!</v>
      </c>
      <c r="U500" s="1052" t="e">
        <f t="shared" si="74"/>
        <v>#VALUE!</v>
      </c>
      <c r="V500" s="1052" t="e">
        <f t="shared" si="75"/>
        <v>#VALUE!</v>
      </c>
      <c r="W500" s="1052" t="e">
        <f t="shared" si="76"/>
        <v>#VALUE!</v>
      </c>
      <c r="X500" s="1052" t="e">
        <f t="shared" si="77"/>
        <v>#VALUE!</v>
      </c>
      <c r="Y500" s="1052" t="e">
        <f t="shared" si="78"/>
        <v>#VALUE!</v>
      </c>
      <c r="Z500" s="1052" t="e">
        <f t="shared" si="79"/>
        <v>#VALUE!</v>
      </c>
      <c r="AA500" s="1052" t="e">
        <f t="shared" si="80"/>
        <v>#VALUE!</v>
      </c>
      <c r="AB500" s="670" t="e">
        <f t="shared" si="81"/>
        <v>#VALUE!</v>
      </c>
    </row>
    <row r="501" spans="1:77">
      <c r="A501" s="1061" t="s">
        <v>816</v>
      </c>
      <c r="B501" s="1221"/>
      <c r="C501" s="1221"/>
      <c r="D501" s="1221"/>
      <c r="E501" s="1221"/>
      <c r="F501" s="1221"/>
      <c r="G501" s="1221"/>
      <c r="H501" s="662"/>
      <c r="I501" s="662"/>
      <c r="J501" s="165"/>
      <c r="K501" s="165"/>
      <c r="L501" s="165"/>
      <c r="M501" s="165"/>
      <c r="N501" s="165"/>
      <c r="O501" s="165"/>
      <c r="P501" s="165"/>
      <c r="Q501" s="426"/>
      <c r="R501" s="426"/>
      <c r="S501" s="741"/>
      <c r="T501" s="120"/>
      <c r="U501" s="120"/>
      <c r="V501" s="120"/>
      <c r="W501" s="120"/>
      <c r="X501" s="120"/>
      <c r="Y501" s="120"/>
      <c r="Z501" s="120"/>
      <c r="AA501" s="120"/>
      <c r="AB501" s="120"/>
    </row>
    <row r="502" spans="1:77">
      <c r="B502" s="1221"/>
      <c r="C502" s="1221"/>
      <c r="D502" s="1221"/>
      <c r="E502" s="1221"/>
      <c r="F502" s="1221"/>
      <c r="G502" s="1221"/>
      <c r="H502" s="662"/>
      <c r="I502" s="662"/>
      <c r="J502" s="165"/>
      <c r="K502" s="165"/>
      <c r="L502" s="165"/>
      <c r="M502" s="165"/>
      <c r="N502" s="165"/>
      <c r="O502" s="165"/>
      <c r="P502" s="165"/>
      <c r="Q502" s="426"/>
      <c r="R502" s="426"/>
      <c r="S502" s="741"/>
      <c r="T502" s="120"/>
      <c r="U502" s="120"/>
      <c r="V502" s="120"/>
      <c r="W502" s="120"/>
      <c r="X502" s="120"/>
      <c r="Y502" s="120"/>
      <c r="Z502" s="120"/>
      <c r="AA502" s="120"/>
      <c r="AB502" s="120"/>
    </row>
    <row r="503" spans="1:77" ht="18">
      <c r="B503" s="2172" t="s">
        <v>813</v>
      </c>
      <c r="C503" s="2173"/>
      <c r="D503" s="2173"/>
      <c r="E503" s="2173"/>
      <c r="F503" s="2173"/>
      <c r="G503" s="2173"/>
      <c r="H503" s="2174"/>
      <c r="I503" s="2174"/>
      <c r="J503" s="165"/>
      <c r="K503" s="165"/>
      <c r="L503" s="165"/>
      <c r="M503" s="165"/>
      <c r="N503" s="165"/>
      <c r="O503" s="165"/>
      <c r="P503" s="165"/>
      <c r="Q503" s="426"/>
      <c r="R503" s="426"/>
      <c r="S503" s="120"/>
      <c r="T503" s="120"/>
      <c r="U503" s="120"/>
      <c r="V503" s="120"/>
      <c r="W503" s="120"/>
      <c r="X503" s="120"/>
      <c r="Y503" s="120"/>
      <c r="Z503" s="120"/>
      <c r="AA503" s="120"/>
      <c r="AB503" s="120"/>
    </row>
    <row r="504" spans="1:77" ht="15" customHeight="1">
      <c r="B504" s="1813" t="s">
        <v>271</v>
      </c>
      <c r="C504" s="1814"/>
      <c r="D504" s="1813" t="s">
        <v>272</v>
      </c>
      <c r="E504" s="1819"/>
      <c r="F504" s="1819"/>
      <c r="G504" s="1814"/>
      <c r="H504" s="1808" t="s">
        <v>273</v>
      </c>
      <c r="I504" s="1808" t="s">
        <v>377</v>
      </c>
      <c r="J504" s="1772" t="s">
        <v>274</v>
      </c>
      <c r="K504" s="1772" t="s">
        <v>308</v>
      </c>
      <c r="L504" s="1772" t="s">
        <v>761</v>
      </c>
      <c r="M504" s="1844" t="s">
        <v>323</v>
      </c>
      <c r="N504" s="1222"/>
      <c r="O504" s="1844" t="s">
        <v>324</v>
      </c>
      <c r="P504" s="1222"/>
      <c r="Q504" s="1786" t="s">
        <v>275</v>
      </c>
      <c r="R504" s="1769" t="s">
        <v>367</v>
      </c>
      <c r="S504" s="1754" t="s">
        <v>307</v>
      </c>
      <c r="T504" s="1755"/>
      <c r="U504" s="1755"/>
      <c r="V504" s="1755"/>
      <c r="W504" s="1755"/>
      <c r="X504" s="1755"/>
      <c r="Y504" s="1755"/>
      <c r="Z504" s="1755"/>
      <c r="AA504" s="1755"/>
      <c r="AB504" s="1755"/>
      <c r="AL504" s="1782" t="s">
        <v>307</v>
      </c>
      <c r="AM504" s="1782"/>
      <c r="AN504" s="1782"/>
      <c r="AO504" s="1782"/>
      <c r="AP504" s="1782"/>
      <c r="AQ504" s="1782"/>
      <c r="AR504" s="1782"/>
      <c r="AS504" s="1782"/>
      <c r="AT504" s="1782"/>
      <c r="AU504" s="1782"/>
      <c r="AV504" s="1782"/>
      <c r="AW504" s="1782"/>
      <c r="AX504" s="1782"/>
      <c r="AY504" s="1782"/>
      <c r="AZ504" s="1782"/>
      <c r="BA504" s="1782"/>
      <c r="BB504" s="1782"/>
      <c r="BC504" s="1782"/>
      <c r="BD504" s="1782"/>
      <c r="BE504" s="1782"/>
      <c r="BF504" s="1782"/>
      <c r="BG504" s="1782"/>
      <c r="BH504" s="1782"/>
      <c r="BI504" s="1782"/>
      <c r="BJ504" s="1782"/>
      <c r="BK504" s="1782"/>
      <c r="BL504" s="1782"/>
      <c r="BM504" s="1782"/>
      <c r="BN504" s="1782"/>
      <c r="BO504" s="1782"/>
      <c r="BP504" s="1782"/>
      <c r="BQ504" s="1782"/>
      <c r="BR504" s="1782"/>
      <c r="BS504" s="1782"/>
      <c r="BT504" s="1782"/>
      <c r="BU504" s="1782"/>
      <c r="BV504" s="1782"/>
      <c r="BW504" s="1782"/>
      <c r="BX504" s="1782"/>
      <c r="BY504" s="1782"/>
    </row>
    <row r="505" spans="1:77" ht="15" customHeight="1">
      <c r="B505" s="1815"/>
      <c r="C505" s="1816"/>
      <c r="D505" s="1815"/>
      <c r="E505" s="1820"/>
      <c r="F505" s="1820"/>
      <c r="G505" s="1816"/>
      <c r="H505" s="1809"/>
      <c r="I505" s="1809"/>
      <c r="J505" s="1773"/>
      <c r="K505" s="1773"/>
      <c r="L505" s="1773"/>
      <c r="M505" s="1845"/>
      <c r="N505" s="1223"/>
      <c r="O505" s="1845"/>
      <c r="P505" s="1223"/>
      <c r="Q505" s="1787"/>
      <c r="R505" s="1770"/>
      <c r="S505" s="1049">
        <f t="shared" ref="S505:AB505" si="106">S15</f>
        <v>2019</v>
      </c>
      <c r="T505" s="1049">
        <f t="shared" si="106"/>
        <v>2020</v>
      </c>
      <c r="U505" s="1049">
        <f t="shared" si="106"/>
        <v>2021</v>
      </c>
      <c r="V505" s="1049">
        <f t="shared" si="106"/>
        <v>2022</v>
      </c>
      <c r="W505" s="1049">
        <f t="shared" si="106"/>
        <v>2023</v>
      </c>
      <c r="X505" s="1049">
        <f t="shared" si="106"/>
        <v>2024</v>
      </c>
      <c r="Y505" s="1049">
        <f t="shared" si="106"/>
        <v>2025</v>
      </c>
      <c r="Z505" s="1049">
        <f t="shared" si="106"/>
        <v>2026</v>
      </c>
      <c r="AA505" s="1049">
        <f t="shared" si="106"/>
        <v>2027</v>
      </c>
      <c r="AB505" s="1049">
        <f t="shared" si="106"/>
        <v>2028</v>
      </c>
      <c r="AL505" s="1053" t="str">
        <f>AM505</f>
        <v>Année N</v>
      </c>
      <c r="AM505" s="1192" t="s">
        <v>683</v>
      </c>
      <c r="AN505" s="1780" t="s">
        <v>682</v>
      </c>
      <c r="AO505" s="1780" t="s">
        <v>378</v>
      </c>
      <c r="AP505" s="1049" t="str">
        <f>AQ505</f>
        <v>Année N+1</v>
      </c>
      <c r="AQ505" s="660" t="s">
        <v>556</v>
      </c>
      <c r="AR505" s="1780" t="s">
        <v>378</v>
      </c>
      <c r="AS505" s="1780" t="s">
        <v>368</v>
      </c>
      <c r="AT505" s="1049" t="str">
        <f>AU505</f>
        <v>Année N+2</v>
      </c>
      <c r="AU505" s="660" t="s">
        <v>557</v>
      </c>
      <c r="AV505" s="1780" t="s">
        <v>378</v>
      </c>
      <c r="AW505" s="1783" t="s">
        <v>369</v>
      </c>
      <c r="AX505" s="1049" t="str">
        <f>AY505</f>
        <v>Année N+3</v>
      </c>
      <c r="AY505" s="1192" t="s">
        <v>558</v>
      </c>
      <c r="AZ505" s="1780" t="s">
        <v>378</v>
      </c>
      <c r="BA505" s="1780" t="s">
        <v>370</v>
      </c>
      <c r="BB505" s="1051" t="str">
        <f>BC505</f>
        <v>Année N+4</v>
      </c>
      <c r="BC505" s="661" t="s">
        <v>559</v>
      </c>
      <c r="BD505" s="1780" t="s">
        <v>378</v>
      </c>
      <c r="BE505" s="1780" t="s">
        <v>371</v>
      </c>
      <c r="BF505" s="1049" t="str">
        <f>BG505</f>
        <v>Année N+5</v>
      </c>
      <c r="BG505" s="1192" t="s">
        <v>560</v>
      </c>
      <c r="BH505" s="1780" t="s">
        <v>378</v>
      </c>
      <c r="BI505" s="1780" t="s">
        <v>372</v>
      </c>
      <c r="BJ505" s="1049" t="str">
        <f>BK505</f>
        <v>Année N+6</v>
      </c>
      <c r="BK505" s="1192" t="s">
        <v>561</v>
      </c>
      <c r="BL505" s="1780" t="s">
        <v>378</v>
      </c>
      <c r="BM505" s="1780" t="s">
        <v>373</v>
      </c>
      <c r="BN505" s="1049" t="str">
        <f>BO505</f>
        <v>Année N+7</v>
      </c>
      <c r="BO505" s="1192" t="s">
        <v>562</v>
      </c>
      <c r="BP505" s="1780" t="s">
        <v>378</v>
      </c>
      <c r="BQ505" s="1780" t="s">
        <v>374</v>
      </c>
      <c r="BR505" s="1049" t="str">
        <f>BS505</f>
        <v>Année N+8</v>
      </c>
      <c r="BS505" s="1192" t="s">
        <v>563</v>
      </c>
      <c r="BT505" s="1780" t="s">
        <v>378</v>
      </c>
      <c r="BU505" s="1780" t="s">
        <v>375</v>
      </c>
      <c r="BV505" s="1049" t="str">
        <f>BW505</f>
        <v>Année N+9</v>
      </c>
      <c r="BW505" s="1766" t="s">
        <v>564</v>
      </c>
      <c r="BX505" s="1780" t="s">
        <v>378</v>
      </c>
      <c r="BY505" s="1780" t="s">
        <v>376</v>
      </c>
    </row>
    <row r="506" spans="1:77" ht="15" customHeight="1">
      <c r="B506" s="1817"/>
      <c r="C506" s="1818"/>
      <c r="D506" s="1817"/>
      <c r="E506" s="1821"/>
      <c r="F506" s="1821"/>
      <c r="G506" s="1818"/>
      <c r="H506" s="1810"/>
      <c r="I506" s="1810"/>
      <c r="J506" s="1774"/>
      <c r="K506" s="1774"/>
      <c r="L506" s="1774"/>
      <c r="M506" s="1846"/>
      <c r="N506" s="1224"/>
      <c r="O506" s="1846"/>
      <c r="P506" s="1224"/>
      <c r="Q506" s="1788"/>
      <c r="R506" s="1771"/>
      <c r="S506" s="912"/>
      <c r="T506" s="912"/>
      <c r="U506" s="912"/>
      <c r="V506" s="912"/>
      <c r="W506" s="912"/>
      <c r="X506" s="912"/>
      <c r="Y506" s="912"/>
      <c r="Z506" s="912"/>
      <c r="AA506" s="912"/>
      <c r="AB506" s="912"/>
      <c r="AL506" s="912"/>
      <c r="AM506" s="1193"/>
      <c r="AN506" s="1781"/>
      <c r="AO506" s="1781"/>
      <c r="AP506" s="912"/>
      <c r="AQ506" s="404"/>
      <c r="AR506" s="1781"/>
      <c r="AS506" s="1781"/>
      <c r="AT506" s="912"/>
      <c r="AU506" s="404"/>
      <c r="AV506" s="1781"/>
      <c r="AW506" s="1784"/>
      <c r="AX506" s="912"/>
      <c r="AY506" s="1193"/>
      <c r="AZ506" s="1781"/>
      <c r="BA506" s="1781"/>
      <c r="BB506" s="405"/>
      <c r="BC506" s="406"/>
      <c r="BD506" s="1781"/>
      <c r="BE506" s="1781"/>
      <c r="BF506" s="912"/>
      <c r="BG506" s="1193"/>
      <c r="BH506" s="1781"/>
      <c r="BI506" s="1781"/>
      <c r="BJ506" s="912"/>
      <c r="BK506" s="1193"/>
      <c r="BL506" s="1781"/>
      <c r="BM506" s="1781"/>
      <c r="BN506" s="912"/>
      <c r="BO506" s="1193"/>
      <c r="BP506" s="1781"/>
      <c r="BQ506" s="1781"/>
      <c r="BR506" s="912"/>
      <c r="BS506" s="1193"/>
      <c r="BT506" s="1781"/>
      <c r="BU506" s="1781"/>
      <c r="BV506" s="912"/>
      <c r="BW506" s="1768"/>
      <c r="BX506" s="1781"/>
      <c r="BY506" s="1781"/>
    </row>
    <row r="507" spans="1:77" s="121" customFormat="1">
      <c r="B507" s="1811"/>
      <c r="C507" s="1812"/>
      <c r="D507" s="1803" t="s">
        <v>290</v>
      </c>
      <c r="E507" s="1804"/>
      <c r="F507" s="1804"/>
      <c r="G507" s="1805"/>
      <c r="H507" s="824"/>
      <c r="I507" s="1210" t="e">
        <f>(100*R507)/Q507</f>
        <v>#VALUE!</v>
      </c>
      <c r="J507" s="390" t="s">
        <v>365</v>
      </c>
      <c r="K507" s="390" t="s">
        <v>365</v>
      </c>
      <c r="L507" s="1332" t="str">
        <f>IF(D507="Bâtiments",J507+1,J507)</f>
        <v>Non renseigné</v>
      </c>
      <c r="M507" s="396" t="e">
        <f>VLOOKUP(K507,$AD$14:$AE$26,2,FALSE)</f>
        <v>#N/A</v>
      </c>
      <c r="N507" s="396"/>
      <c r="O507" s="396" t="e">
        <f>12-M507</f>
        <v>#N/A</v>
      </c>
      <c r="P507" s="914"/>
      <c r="Q507" s="392"/>
      <c r="R507" s="944" t="str">
        <f>IF(AND(Q507&gt;=3,Q507&lt;=4),"0,0125",IF(AND(Q507&gt;=5,Q507&lt;=6),"0,0175",IF(Q507&gt;=7,"0,0225","")))</f>
        <v/>
      </c>
      <c r="S507" s="1052" t="e">
        <f>IF($AM507=S$505,$AL507,IF($AQ507=S$505,$AP507,IF($AU507=S$505,$AT507,IF($AY507=S$505,$AX507,IF($BC507=S$505,$BB507,IF($BG507=S$505,$BF507,IF($BK507=S$505,$BJ507,IF($BO507=S$505,$BN507,IF($BS507=S$505,$BR507,IF($BW507=S$505,$BV507,"0"))))))))))</f>
        <v>#VALUE!</v>
      </c>
      <c r="T507" s="1052" t="e">
        <f t="shared" ref="T507:AB522" si="107">IF($AM507=T$505,$AL507,IF($AQ507=T$505,$AP507,IF($AU507=T$505,$AT507,IF($AY507=T$505,$AX507,IF($BC507=T$505,$BB507,IF($BG507=T$505,$BF507,IF($BK507=T$505,$BJ507,IF($BO507=T$505,$BN507,IF($BS507=T$505,$BR507,IF($BW507=T$505,$BV507,"0"))))))))))</f>
        <v>#VALUE!</v>
      </c>
      <c r="U507" s="1052" t="e">
        <f t="shared" si="107"/>
        <v>#VALUE!</v>
      </c>
      <c r="V507" s="1052" t="e">
        <f t="shared" si="107"/>
        <v>#VALUE!</v>
      </c>
      <c r="W507" s="1052" t="e">
        <f t="shared" si="107"/>
        <v>#VALUE!</v>
      </c>
      <c r="X507" s="1052" t="e">
        <f t="shared" si="107"/>
        <v>#VALUE!</v>
      </c>
      <c r="Y507" s="1052" t="e">
        <f t="shared" si="107"/>
        <v>#VALUE!</v>
      </c>
      <c r="Z507" s="1052" t="e">
        <f t="shared" si="107"/>
        <v>#VALUE!</v>
      </c>
      <c r="AA507" s="1052" t="e">
        <f t="shared" si="107"/>
        <v>#VALUE!</v>
      </c>
      <c r="AB507" s="670" t="e">
        <f t="shared" si="107"/>
        <v>#VALUE!</v>
      </c>
      <c r="AL507" s="407" t="e">
        <f>IF($AO$507&lt;$I$507,$H$507*($M$507/12)*$I$507,$H$507*$AO$507)</f>
        <v>#VALUE!</v>
      </c>
      <c r="AM507" s="408" t="str">
        <f t="shared" ref="AM507:AM522" si="108">L507</f>
        <v>Non renseigné</v>
      </c>
      <c r="AN507" s="409">
        <f t="shared" ref="AN507:AN522" si="109">IF(H507=0,0,H507-AL507)</f>
        <v>0</v>
      </c>
      <c r="AO507" s="410" t="str">
        <f t="shared" ref="AO507:AO522" si="110">IF(Q507=0,"",1/Q507)</f>
        <v/>
      </c>
      <c r="AP507" s="407" t="e">
        <f>IF($AR$507&lt;$I$507,$AN$507*$I$507,IF(AND($AR$507=1),$AN$507,IF(AND($AN$507=0),0,$AN$507*$AR$507)))</f>
        <v>#VALUE!</v>
      </c>
      <c r="AQ507" s="408" t="e">
        <f t="shared" ref="AQ507:AQ522" si="111">L507+1</f>
        <v>#VALUE!</v>
      </c>
      <c r="AR507" s="410">
        <f t="shared" ref="AR507:AR522" si="112">IF((Q507-1)=0,"",1/(Q507-1))</f>
        <v>-1</v>
      </c>
      <c r="AS507" s="409">
        <f>IF(AN507=0,0,AN507-AP507)</f>
        <v>0</v>
      </c>
      <c r="AT507" s="407" t="e">
        <f>IF($AV$507&lt;$I$507,$AS$507*$I$507,IF(AND($AV$507=1),$AS$507,IF(AND($AS$507=0),0,$AS$507*$AV$507)))</f>
        <v>#VALUE!</v>
      </c>
      <c r="AU507" s="417" t="e">
        <f t="shared" ref="AU507:AU522" si="113">L507+2</f>
        <v>#VALUE!</v>
      </c>
      <c r="AV507" s="410">
        <f t="shared" ref="AV507:AV522" si="114">IF((Q507-2)=0,"",1/(Q507-2))</f>
        <v>-0.5</v>
      </c>
      <c r="AW507" s="409">
        <f>IF(AS507=0,0,AS507-AT507)</f>
        <v>0</v>
      </c>
      <c r="AX507" s="407" t="e">
        <f>IF($AZ$507&lt;$I$507,$AW$507*$I$507,IF(AND($AZ$507=1),$AW$507,IF(AND($AW$507=0),0,$AW$507*$AZ$507)))</f>
        <v>#VALUE!</v>
      </c>
      <c r="AY507" s="408" t="e">
        <f t="shared" ref="AY507:AY522" si="115">L507+3</f>
        <v>#VALUE!</v>
      </c>
      <c r="AZ507" s="410">
        <f t="shared" ref="AZ507:AZ522" si="116">IF((Q507-3)=0,"",1/(Q507-3))</f>
        <v>-0.33333333333333331</v>
      </c>
      <c r="BA507" s="409">
        <f>IF(AW507=0,0,AW507-AX507)</f>
        <v>0</v>
      </c>
      <c r="BB507" s="407" t="e">
        <f>IF($BD$507&lt;$I$507,$BA$507*$I$507,IF(AND($BD$507=1),$BA$507,IF(AND($BA$507=0),0,$BA$507*$AZ$507)))</f>
        <v>#VALUE!</v>
      </c>
      <c r="BC507" s="408" t="e">
        <f t="shared" ref="BC507:BC522" si="117">L507+4</f>
        <v>#VALUE!</v>
      </c>
      <c r="BD507" s="410">
        <f t="shared" ref="BD507:BD522" si="118">IF((Q507-4)=0,"",1/(Q507-4))</f>
        <v>-0.25</v>
      </c>
      <c r="BE507" s="409">
        <f>IF(BA507=0,0,BA507-BB507)</f>
        <v>0</v>
      </c>
      <c r="BF507" s="407" t="e">
        <f>IF($BH$507&lt;$I$507,$BE$507*$I$507,IF(AND($BH$507=1),$BE$507,IF(AND($BE$507=0),0,$BE$507*$BH$507)))</f>
        <v>#VALUE!</v>
      </c>
      <c r="BG507" s="408" t="e">
        <f t="shared" ref="BG507:BG522" si="119">L507+5</f>
        <v>#VALUE!</v>
      </c>
      <c r="BH507" s="411">
        <f t="shared" ref="BH507:BH522" si="120">IF((Q507-5)=0,"",1/(Q507-5))</f>
        <v>-0.2</v>
      </c>
      <c r="BI507" s="409">
        <f>IF(BE507=0,0,BE507-BF507)</f>
        <v>0</v>
      </c>
      <c r="BJ507" s="407" t="e">
        <f>IF($BL$507&lt;$I$507,$BI$507*$I$507,IF(AND($BL$507=1),$BI$507,IF(AND($BL$507=0),0,$BI$507*$BL$507)))</f>
        <v>#VALUE!</v>
      </c>
      <c r="BK507" s="417" t="e">
        <f t="shared" ref="BK507:BK522" si="121">L507+6</f>
        <v>#VALUE!</v>
      </c>
      <c r="BL507" s="410">
        <f t="shared" ref="BL507:BL522" si="122">IF((Q507-6)=0,"",1/(Q507-6))</f>
        <v>-0.16666666666666666</v>
      </c>
      <c r="BM507" s="409">
        <f>IF(BI507=0,0,BI507-BJ507)</f>
        <v>0</v>
      </c>
      <c r="BN507" s="407" t="e">
        <f>IF($BP$507&lt;$I$507,$BM$507*$I$507,IF(AND($BP$507=1),$BM$507,IF(AND($BP$507=0),0,$BM$507*$BP$507)))</f>
        <v>#VALUE!</v>
      </c>
      <c r="BO507" s="417" t="e">
        <f t="shared" ref="BO507:BO522" si="123">L507+7</f>
        <v>#VALUE!</v>
      </c>
      <c r="BP507" s="410">
        <f t="shared" ref="BP507:BP522" si="124">IF((Q507-7)=0,"",1/(Q507-7))</f>
        <v>-0.14285714285714285</v>
      </c>
      <c r="BQ507" s="409">
        <f>IF(BM507=0,0,BM507-BN507)</f>
        <v>0</v>
      </c>
      <c r="BR507" s="407" t="e">
        <f>IF($BT$507&lt;$I$507,$BQ$507*$I$507,IF(AND($BT$507=1),$BQ$507,IF(AND($BT$507=0),0,$BQ$507*$BT$507)))</f>
        <v>#VALUE!</v>
      </c>
      <c r="BS507" s="417" t="e">
        <f t="shared" ref="BS507:BS522" si="125">L507+8</f>
        <v>#VALUE!</v>
      </c>
      <c r="BT507" s="410">
        <f t="shared" ref="BT507:BT522" si="126">IF((Q507-8)=0,"",1/(Q507-8))</f>
        <v>-0.125</v>
      </c>
      <c r="BU507" s="409">
        <f>IF(BQ507=0,0,BQ507-BR507)</f>
        <v>0</v>
      </c>
      <c r="BV507" s="407" t="e">
        <f>IF($BX$507&lt;$I$507,$BU$507*$I$507,IF(AND($BX$507=1),$BU$507,IF(AND($BX$507=0),0,$BU$507*$BX$507)))</f>
        <v>#VALUE!</v>
      </c>
      <c r="BW507" s="748" t="e">
        <f t="shared" ref="BW507:BW522" si="127">L507+9</f>
        <v>#VALUE!</v>
      </c>
      <c r="BX507" s="412">
        <f t="shared" ref="BX507:BX522" si="128">IF((Q507-9)=0,"",1/(Q507-9))</f>
        <v>-0.1111111111111111</v>
      </c>
      <c r="BY507" s="659">
        <f>IF(BU507=0,0,BU507-BV507)</f>
        <v>0</v>
      </c>
    </row>
    <row r="508" spans="1:77" s="121" customFormat="1">
      <c r="B508" s="1801"/>
      <c r="C508" s="1802"/>
      <c r="D508" s="1803" t="s">
        <v>290</v>
      </c>
      <c r="E508" s="1804"/>
      <c r="F508" s="1804"/>
      <c r="G508" s="1805"/>
      <c r="H508" s="825"/>
      <c r="I508" s="1210" t="e">
        <f t="shared" ref="I508:I522" si="129">(100*R508)/Q508</f>
        <v>#VALUE!</v>
      </c>
      <c r="J508" s="390" t="s">
        <v>365</v>
      </c>
      <c r="K508" s="390" t="s">
        <v>365</v>
      </c>
      <c r="L508" s="1333" t="str">
        <f t="shared" ref="L508:L522" si="130">IF(D508="Bâtiments",J508+1,J508)</f>
        <v>Non renseigné</v>
      </c>
      <c r="M508" s="390" t="e">
        <f t="shared" ref="M508:M522" si="131">VLOOKUP(K508,$AD$14:$AE$26,2,FALSE)</f>
        <v>#N/A</v>
      </c>
      <c r="N508" s="390"/>
      <c r="O508" s="390" t="e">
        <f t="shared" ref="O508:O522" si="132">12-M508</f>
        <v>#N/A</v>
      </c>
      <c r="P508" s="914"/>
      <c r="Q508" s="393"/>
      <c r="R508" s="945" t="str">
        <f t="shared" ref="R508:R522" si="133">IF(AND(Q508&gt;=3,Q508&lt;=4),"0,0125",IF(AND(Q508&gt;=5,Q508&lt;=6),"0,0175",IF(Q508&gt;=7,"0,0225","")))</f>
        <v/>
      </c>
      <c r="S508" s="1052" t="e">
        <f t="shared" ref="S508:S522" si="134">IF($AM508=S$505,$AL508,IF($AQ508=S$505,$AP508,IF($AU508=S$505,$AT508,IF($AY508=S$505,$AX508,IF($BC508=S$505,$BB508,IF($BG508=S$505,$BF508,IF($BK508=S$505,$BJ508,IF($BO508=S$505,$BN508,IF($BS508=S$505,$BR508,IF($BW508=S$505,$BV508,"0"))))))))))</f>
        <v>#VALUE!</v>
      </c>
      <c r="T508" s="1052" t="e">
        <f t="shared" si="107"/>
        <v>#VALUE!</v>
      </c>
      <c r="U508" s="1052" t="e">
        <f t="shared" si="107"/>
        <v>#VALUE!</v>
      </c>
      <c r="V508" s="1052" t="e">
        <f t="shared" si="107"/>
        <v>#VALUE!</v>
      </c>
      <c r="W508" s="1052" t="e">
        <f t="shared" si="107"/>
        <v>#VALUE!</v>
      </c>
      <c r="X508" s="1052" t="e">
        <f t="shared" si="107"/>
        <v>#VALUE!</v>
      </c>
      <c r="Y508" s="1052" t="e">
        <f t="shared" si="107"/>
        <v>#VALUE!</v>
      </c>
      <c r="Z508" s="1052" t="e">
        <f t="shared" si="107"/>
        <v>#VALUE!</v>
      </c>
      <c r="AA508" s="1052" t="e">
        <f t="shared" si="107"/>
        <v>#VALUE!</v>
      </c>
      <c r="AB508" s="670" t="e">
        <f t="shared" si="107"/>
        <v>#VALUE!</v>
      </c>
      <c r="AL508" s="413" t="e">
        <f>IF($AO$508&lt;$I$508,$H$508*($M$508/12)*$I$508,$H$508*$AO$508)</f>
        <v>#VALUE!</v>
      </c>
      <c r="AM508" s="408" t="str">
        <f t="shared" si="108"/>
        <v>Non renseigné</v>
      </c>
      <c r="AN508" s="409">
        <f t="shared" si="109"/>
        <v>0</v>
      </c>
      <c r="AO508" s="414" t="str">
        <f t="shared" si="110"/>
        <v/>
      </c>
      <c r="AP508" s="413" t="e">
        <f>IF($AR$508&lt;$I$508,$AN$508*$I$508,IF(AND($AR$508=1),$AN$508,IF(AND($AN$508=0),0,$AN$508*$AR$508)))</f>
        <v>#VALUE!</v>
      </c>
      <c r="AQ508" s="408" t="e">
        <f t="shared" si="111"/>
        <v>#VALUE!</v>
      </c>
      <c r="AR508" s="414">
        <f t="shared" si="112"/>
        <v>-1</v>
      </c>
      <c r="AS508" s="409">
        <f t="shared" ref="AS508:AS522" si="135">IF(AN508=0,0,AN508-AP508)</f>
        <v>0</v>
      </c>
      <c r="AT508" s="413" t="e">
        <f>IF($AV$508&lt;$I$508,$AS$508*$I$508,IF(AND($AV$508=1),$AS$508,IF(AND($AS$508=0),0,$AS$508*$AV$508)))</f>
        <v>#VALUE!</v>
      </c>
      <c r="AU508" s="417" t="e">
        <f t="shared" si="113"/>
        <v>#VALUE!</v>
      </c>
      <c r="AV508" s="414">
        <f t="shared" si="114"/>
        <v>-0.5</v>
      </c>
      <c r="AW508" s="409">
        <f t="shared" ref="AW508:AW522" si="136">IF(AS508=0,0,AS508-AT508)</f>
        <v>0</v>
      </c>
      <c r="AX508" s="413" t="e">
        <f>IF($AZ$508&lt;$I$508,$AW$508*$I$508,IF(AND($AZ$508=1),$AW$508,IF(AND($AW$508=0),0,$AW$508*$AZ$508)))</f>
        <v>#VALUE!</v>
      </c>
      <c r="AY508" s="408" t="e">
        <f t="shared" si="115"/>
        <v>#VALUE!</v>
      </c>
      <c r="AZ508" s="414">
        <f t="shared" si="116"/>
        <v>-0.33333333333333331</v>
      </c>
      <c r="BA508" s="409">
        <f t="shared" ref="BA508:BA522" si="137">IF(AW508=0,0,AW508-AX508)</f>
        <v>0</v>
      </c>
      <c r="BB508" s="413" t="e">
        <f>IF($BD$508&lt;$I$508,$BA$508*$I$508,IF(AND($BD$508=1),$BA$508,IF(AND($BA$508=0),0,$BA$508*$AZ$508)))</f>
        <v>#VALUE!</v>
      </c>
      <c r="BC508" s="408" t="e">
        <f t="shared" si="117"/>
        <v>#VALUE!</v>
      </c>
      <c r="BD508" s="414">
        <f t="shared" si="118"/>
        <v>-0.25</v>
      </c>
      <c r="BE508" s="409">
        <f t="shared" ref="BE508:BE522" si="138">IF(BA508=0,0,BA508-BB508)</f>
        <v>0</v>
      </c>
      <c r="BF508" s="413" t="e">
        <f>IF($BH$508&lt;$I$508,$BE$508*$I$508,IF(AND($BH$508=1),$BE$508,IF(AND($BE$508=0),0,$BE$508*$BH$508)))</f>
        <v>#VALUE!</v>
      </c>
      <c r="BG508" s="408" t="e">
        <f t="shared" si="119"/>
        <v>#VALUE!</v>
      </c>
      <c r="BH508" s="414">
        <f t="shared" si="120"/>
        <v>-0.2</v>
      </c>
      <c r="BI508" s="409">
        <f t="shared" ref="BI508:BI522" si="139">IF(BE508=0,0,BE508-BF508)</f>
        <v>0</v>
      </c>
      <c r="BJ508" s="413" t="e">
        <f>IF($BL$508&lt;$I$508,$BI$508*$I$508,IF(AND($BL$508=1),$BI$508,IF(AND($BL$508=0),0,$BI$508*$BL$508)))</f>
        <v>#VALUE!</v>
      </c>
      <c r="BK508" s="417" t="e">
        <f t="shared" si="121"/>
        <v>#VALUE!</v>
      </c>
      <c r="BL508" s="414">
        <f t="shared" si="122"/>
        <v>-0.16666666666666666</v>
      </c>
      <c r="BM508" s="409">
        <f t="shared" ref="BM508:BM522" si="140">IF(BI508=0,0,BI508-BJ508)</f>
        <v>0</v>
      </c>
      <c r="BN508" s="413" t="e">
        <f>IF($BP$508&lt;$I$508,$BM$508*$I$508,IF(AND($BP$508=1),$BM$508,IF(AND($BP$508=0),0,$BM$508*$BP$508)))</f>
        <v>#VALUE!</v>
      </c>
      <c r="BO508" s="417" t="e">
        <f t="shared" si="123"/>
        <v>#VALUE!</v>
      </c>
      <c r="BP508" s="414">
        <f t="shared" si="124"/>
        <v>-0.14285714285714285</v>
      </c>
      <c r="BQ508" s="409">
        <f t="shared" ref="BQ508:BQ522" si="141">IF(BM508=0,0,BM508-BN508)</f>
        <v>0</v>
      </c>
      <c r="BR508" s="413" t="e">
        <f>IF($BT$508&lt;$I$508,$BQ$508*$I$508,IF(AND($BT$508=1),$BQ$508,IF(AND($BT$508=0),0,$BQ$508*$BT$508)))</f>
        <v>#VALUE!</v>
      </c>
      <c r="BS508" s="417" t="e">
        <f t="shared" si="125"/>
        <v>#VALUE!</v>
      </c>
      <c r="BT508" s="414">
        <f t="shared" si="126"/>
        <v>-0.125</v>
      </c>
      <c r="BU508" s="409">
        <f t="shared" ref="BU508:BU522" si="142">IF(BQ508=0,0,BQ508-BR508)</f>
        <v>0</v>
      </c>
      <c r="BV508" s="413" t="e">
        <f>IF($BX$508&lt;$I$508,$BU$508*$I$508,IF(AND($BX$508=1),$BU$508,IF(AND($BX$508=0),0,$BU$508*$BX$508)))</f>
        <v>#VALUE!</v>
      </c>
      <c r="BW508" s="748" t="e">
        <f t="shared" si="127"/>
        <v>#VALUE!</v>
      </c>
      <c r="BX508" s="415">
        <f t="shared" si="128"/>
        <v>-0.1111111111111111</v>
      </c>
      <c r="BY508" s="659">
        <f t="shared" ref="BY508:BY522" si="143">IF(BU508=0,0,BU508-BV508)</f>
        <v>0</v>
      </c>
    </row>
    <row r="509" spans="1:77" s="121" customFormat="1">
      <c r="B509" s="1801"/>
      <c r="C509" s="1802"/>
      <c r="D509" s="1803" t="s">
        <v>290</v>
      </c>
      <c r="E509" s="1804"/>
      <c r="F509" s="1804"/>
      <c r="G509" s="1805"/>
      <c r="H509" s="825"/>
      <c r="I509" s="1210" t="e">
        <f t="shared" si="129"/>
        <v>#VALUE!</v>
      </c>
      <c r="J509" s="390" t="s">
        <v>365</v>
      </c>
      <c r="K509" s="390" t="s">
        <v>365</v>
      </c>
      <c r="L509" s="1333" t="str">
        <f t="shared" si="130"/>
        <v>Non renseigné</v>
      </c>
      <c r="M509" s="390" t="e">
        <f t="shared" si="131"/>
        <v>#N/A</v>
      </c>
      <c r="N509" s="390"/>
      <c r="O509" s="390" t="e">
        <f t="shared" si="132"/>
        <v>#N/A</v>
      </c>
      <c r="P509" s="914"/>
      <c r="Q509" s="393"/>
      <c r="R509" s="945" t="str">
        <f t="shared" si="133"/>
        <v/>
      </c>
      <c r="S509" s="1052" t="e">
        <f t="shared" si="134"/>
        <v>#VALUE!</v>
      </c>
      <c r="T509" s="1052" t="e">
        <f t="shared" si="107"/>
        <v>#VALUE!</v>
      </c>
      <c r="U509" s="1052" t="e">
        <f t="shared" si="107"/>
        <v>#VALUE!</v>
      </c>
      <c r="V509" s="1052" t="e">
        <f t="shared" si="107"/>
        <v>#VALUE!</v>
      </c>
      <c r="W509" s="1052" t="e">
        <f t="shared" si="107"/>
        <v>#VALUE!</v>
      </c>
      <c r="X509" s="1052" t="e">
        <f t="shared" si="107"/>
        <v>#VALUE!</v>
      </c>
      <c r="Y509" s="1052" t="e">
        <f t="shared" si="107"/>
        <v>#VALUE!</v>
      </c>
      <c r="Z509" s="1052" t="e">
        <f t="shared" si="107"/>
        <v>#VALUE!</v>
      </c>
      <c r="AA509" s="1052" t="e">
        <f t="shared" si="107"/>
        <v>#VALUE!</v>
      </c>
      <c r="AB509" s="670" t="e">
        <f t="shared" si="107"/>
        <v>#VALUE!</v>
      </c>
      <c r="AL509" s="413" t="e">
        <f>IF($AO$509&lt;$I$509,$H$509*($M$509/12)*$I$509,$H$509*$AO$509)</f>
        <v>#VALUE!</v>
      </c>
      <c r="AM509" s="408" t="str">
        <f t="shared" si="108"/>
        <v>Non renseigné</v>
      </c>
      <c r="AN509" s="409">
        <f t="shared" si="109"/>
        <v>0</v>
      </c>
      <c r="AO509" s="414" t="str">
        <f t="shared" si="110"/>
        <v/>
      </c>
      <c r="AP509" s="413" t="e">
        <f>IF($AR$509&lt;$I$509,$AN$509*$I$509,IF(AND($AR$509=1),$AN$509,IF(AND($AN$509=0),0,$AN$509*$AR$509)))</f>
        <v>#VALUE!</v>
      </c>
      <c r="AQ509" s="408" t="e">
        <f t="shared" si="111"/>
        <v>#VALUE!</v>
      </c>
      <c r="AR509" s="414">
        <f t="shared" si="112"/>
        <v>-1</v>
      </c>
      <c r="AS509" s="409">
        <f t="shared" si="135"/>
        <v>0</v>
      </c>
      <c r="AT509" s="413" t="e">
        <f>IF($AV$509&lt;$I$509,$AS$509*$I$509,IF(AND($AV$509=1),$AS$509,IF(AND($AS$509=0),0,$AS$509*$AV$509)))</f>
        <v>#VALUE!</v>
      </c>
      <c r="AU509" s="417" t="e">
        <f t="shared" si="113"/>
        <v>#VALUE!</v>
      </c>
      <c r="AV509" s="414">
        <f t="shared" si="114"/>
        <v>-0.5</v>
      </c>
      <c r="AW509" s="409">
        <f t="shared" si="136"/>
        <v>0</v>
      </c>
      <c r="AX509" s="413" t="e">
        <f>IF($AZ$509&lt;$I$509,$AW$509*$I$509,IF(AND($AZ$509=1),$AW$509,IF(AND($AW$509=0),0,$AW$509*$AZ$509)))</f>
        <v>#VALUE!</v>
      </c>
      <c r="AY509" s="408" t="e">
        <f t="shared" si="115"/>
        <v>#VALUE!</v>
      </c>
      <c r="AZ509" s="414">
        <f t="shared" si="116"/>
        <v>-0.33333333333333331</v>
      </c>
      <c r="BA509" s="409">
        <f t="shared" si="137"/>
        <v>0</v>
      </c>
      <c r="BB509" s="413" t="e">
        <f>IF($BD$509&lt;$I$509,$BA$509*$I$509,IF(AND($BD$509=1),$BA$509,IF(AND($BA$509=0),0,$BA$509*$AZ$509)))</f>
        <v>#VALUE!</v>
      </c>
      <c r="BC509" s="408" t="e">
        <f t="shared" si="117"/>
        <v>#VALUE!</v>
      </c>
      <c r="BD509" s="414">
        <f t="shared" si="118"/>
        <v>-0.25</v>
      </c>
      <c r="BE509" s="409">
        <f t="shared" si="138"/>
        <v>0</v>
      </c>
      <c r="BF509" s="413" t="e">
        <f>IF($BH$509&lt;$I$509,$BE$509*$I$509,IF(AND($BH$509=1),$BE$509,IF(AND($BE$509=0),0,$BE$509*$BH$509)))</f>
        <v>#VALUE!</v>
      </c>
      <c r="BG509" s="408" t="e">
        <f t="shared" si="119"/>
        <v>#VALUE!</v>
      </c>
      <c r="BH509" s="414">
        <f t="shared" si="120"/>
        <v>-0.2</v>
      </c>
      <c r="BI509" s="409">
        <f t="shared" si="139"/>
        <v>0</v>
      </c>
      <c r="BJ509" s="413" t="e">
        <f>IF($BL$509&lt;$I$509,$BI$509*$I$509,IF(AND($BL$509=1),$BI$509,IF(AND($BL$509=0),0,$BI$509*$BL$509)))</f>
        <v>#VALUE!</v>
      </c>
      <c r="BK509" s="417" t="e">
        <f t="shared" si="121"/>
        <v>#VALUE!</v>
      </c>
      <c r="BL509" s="414">
        <f t="shared" si="122"/>
        <v>-0.16666666666666666</v>
      </c>
      <c r="BM509" s="409">
        <f t="shared" si="140"/>
        <v>0</v>
      </c>
      <c r="BN509" s="413" t="e">
        <f>IF($BP$509&lt;$I$509,$BM$509*$I$509,IF(AND($BP$509=1),$BM$509,IF(AND($BP$509=0),0,$BM$509*$BP$509)))</f>
        <v>#VALUE!</v>
      </c>
      <c r="BO509" s="417" t="e">
        <f t="shared" si="123"/>
        <v>#VALUE!</v>
      </c>
      <c r="BP509" s="414">
        <f t="shared" si="124"/>
        <v>-0.14285714285714285</v>
      </c>
      <c r="BQ509" s="409">
        <f t="shared" si="141"/>
        <v>0</v>
      </c>
      <c r="BR509" s="413" t="e">
        <f>IF($BT$509&lt;$I$509,$BQ$509*$I$509,IF(AND($BT$509=1),$BQ$509,IF(AND($BT$509=0),0,$BQ$509*$BT$509)))</f>
        <v>#VALUE!</v>
      </c>
      <c r="BS509" s="417" t="e">
        <f t="shared" si="125"/>
        <v>#VALUE!</v>
      </c>
      <c r="BT509" s="414">
        <f t="shared" si="126"/>
        <v>-0.125</v>
      </c>
      <c r="BU509" s="409">
        <f t="shared" si="142"/>
        <v>0</v>
      </c>
      <c r="BV509" s="413" t="e">
        <f>IF($BX$509&lt;$I$509,$BU$509*$I$509,IF(AND($BX$509=1),$BU$509,IF(AND($BX$509=0),0,$BU$509*$BX$509)))</f>
        <v>#VALUE!</v>
      </c>
      <c r="BW509" s="748" t="e">
        <f t="shared" si="127"/>
        <v>#VALUE!</v>
      </c>
      <c r="BX509" s="415">
        <f t="shared" si="128"/>
        <v>-0.1111111111111111</v>
      </c>
      <c r="BY509" s="659">
        <f t="shared" si="143"/>
        <v>0</v>
      </c>
    </row>
    <row r="510" spans="1:77" s="121" customFormat="1">
      <c r="B510" s="1801"/>
      <c r="C510" s="1802"/>
      <c r="D510" s="1803" t="s">
        <v>290</v>
      </c>
      <c r="E510" s="1804"/>
      <c r="F510" s="1804"/>
      <c r="G510" s="1805"/>
      <c r="H510" s="825"/>
      <c r="I510" s="1210" t="e">
        <f t="shared" si="129"/>
        <v>#VALUE!</v>
      </c>
      <c r="J510" s="390" t="s">
        <v>365</v>
      </c>
      <c r="K510" s="390" t="s">
        <v>365</v>
      </c>
      <c r="L510" s="1333" t="str">
        <f t="shared" si="130"/>
        <v>Non renseigné</v>
      </c>
      <c r="M510" s="390" t="e">
        <f t="shared" si="131"/>
        <v>#N/A</v>
      </c>
      <c r="N510" s="390"/>
      <c r="O510" s="390" t="e">
        <f t="shared" si="132"/>
        <v>#N/A</v>
      </c>
      <c r="P510" s="914"/>
      <c r="Q510" s="393"/>
      <c r="R510" s="945" t="str">
        <f t="shared" si="133"/>
        <v/>
      </c>
      <c r="S510" s="1052" t="e">
        <f t="shared" si="134"/>
        <v>#VALUE!</v>
      </c>
      <c r="T510" s="1052" t="e">
        <f t="shared" si="107"/>
        <v>#VALUE!</v>
      </c>
      <c r="U510" s="1052" t="e">
        <f t="shared" si="107"/>
        <v>#VALUE!</v>
      </c>
      <c r="V510" s="1052" t="e">
        <f t="shared" si="107"/>
        <v>#VALUE!</v>
      </c>
      <c r="W510" s="1052" t="e">
        <f t="shared" si="107"/>
        <v>#VALUE!</v>
      </c>
      <c r="X510" s="1052" t="e">
        <f t="shared" si="107"/>
        <v>#VALUE!</v>
      </c>
      <c r="Y510" s="1052" t="e">
        <f t="shared" si="107"/>
        <v>#VALUE!</v>
      </c>
      <c r="Z510" s="1052" t="e">
        <f t="shared" si="107"/>
        <v>#VALUE!</v>
      </c>
      <c r="AA510" s="1052" t="e">
        <f t="shared" si="107"/>
        <v>#VALUE!</v>
      </c>
      <c r="AB510" s="670" t="e">
        <f t="shared" si="107"/>
        <v>#VALUE!</v>
      </c>
      <c r="AL510" s="413" t="e">
        <f>IF($AO$510&lt;$I$510,$H$510*($M$510/12)*$I$510,$H$510*$AO$510)</f>
        <v>#VALUE!</v>
      </c>
      <c r="AM510" s="408" t="str">
        <f t="shared" si="108"/>
        <v>Non renseigné</v>
      </c>
      <c r="AN510" s="409">
        <f t="shared" si="109"/>
        <v>0</v>
      </c>
      <c r="AO510" s="414" t="str">
        <f t="shared" si="110"/>
        <v/>
      </c>
      <c r="AP510" s="413" t="e">
        <f>IF($AR$510&lt;$I$510,$AN$510*$I$510,IF(AND($AR$510=1),$AN$510,IF(AND($AN$510=0),0,$AN$510*$AR$510)))</f>
        <v>#VALUE!</v>
      </c>
      <c r="AQ510" s="408" t="e">
        <f t="shared" si="111"/>
        <v>#VALUE!</v>
      </c>
      <c r="AR510" s="414">
        <f t="shared" si="112"/>
        <v>-1</v>
      </c>
      <c r="AS510" s="409">
        <f t="shared" si="135"/>
        <v>0</v>
      </c>
      <c r="AT510" s="413" t="e">
        <f>IF($AV$510&lt;$I$510,$AS$510*$I$510,IF(AND($AV$510=1),$AS$510,IF(AND($AS$510=0),0,$AS$510*$AV$510)))</f>
        <v>#VALUE!</v>
      </c>
      <c r="AU510" s="417" t="e">
        <f t="shared" si="113"/>
        <v>#VALUE!</v>
      </c>
      <c r="AV510" s="414">
        <f t="shared" si="114"/>
        <v>-0.5</v>
      </c>
      <c r="AW510" s="409">
        <f t="shared" si="136"/>
        <v>0</v>
      </c>
      <c r="AX510" s="413" t="e">
        <f>IF($AZ$510&lt;$I$510,$AW$510*$I$510,IF(AND($AZ$510=1),$AW$510,IF(AND($AW$510=0),0,$AW$510*$AZ$510)))</f>
        <v>#VALUE!</v>
      </c>
      <c r="AY510" s="408" t="e">
        <f t="shared" si="115"/>
        <v>#VALUE!</v>
      </c>
      <c r="AZ510" s="414">
        <f t="shared" si="116"/>
        <v>-0.33333333333333331</v>
      </c>
      <c r="BA510" s="409">
        <f t="shared" si="137"/>
        <v>0</v>
      </c>
      <c r="BB510" s="413" t="e">
        <f>IF($BD$510&lt;$I$510,$BA$510*$I$510,IF(AND($BD$510=1),$BA$510,IF(AND($BA$510=0),0,$BA$510*$AZ$510)))</f>
        <v>#VALUE!</v>
      </c>
      <c r="BC510" s="408" t="e">
        <f t="shared" si="117"/>
        <v>#VALUE!</v>
      </c>
      <c r="BD510" s="414">
        <f t="shared" si="118"/>
        <v>-0.25</v>
      </c>
      <c r="BE510" s="409">
        <f t="shared" si="138"/>
        <v>0</v>
      </c>
      <c r="BF510" s="413" t="e">
        <f>IF($BH$510&lt;$I$510,$BE$510*$I$510,IF(AND($BH$510=1),$BE$510,IF(AND($BE$510=0),0,$BE$510*$BH$510)))</f>
        <v>#VALUE!</v>
      </c>
      <c r="BG510" s="408" t="e">
        <f t="shared" si="119"/>
        <v>#VALUE!</v>
      </c>
      <c r="BH510" s="414">
        <f t="shared" si="120"/>
        <v>-0.2</v>
      </c>
      <c r="BI510" s="409">
        <f t="shared" si="139"/>
        <v>0</v>
      </c>
      <c r="BJ510" s="413" t="e">
        <f>IF($BL$510&lt;$I$510,$BI$510*$I$510,IF(AND($BL$510=1),$BI$510,IF(AND($BL$510=0),0,$BI$510*$BL$510)))</f>
        <v>#VALUE!</v>
      </c>
      <c r="BK510" s="417" t="e">
        <f t="shared" si="121"/>
        <v>#VALUE!</v>
      </c>
      <c r="BL510" s="414">
        <f t="shared" si="122"/>
        <v>-0.16666666666666666</v>
      </c>
      <c r="BM510" s="409">
        <f t="shared" si="140"/>
        <v>0</v>
      </c>
      <c r="BN510" s="413" t="e">
        <f>IF($BP$510&lt;$I$510,$BM$510*$I$510,IF(AND($BP$510=1),$BM$510,IF(AND($BP$510=0),0,$BM$510*$BP$510)))</f>
        <v>#VALUE!</v>
      </c>
      <c r="BO510" s="417" t="e">
        <f t="shared" si="123"/>
        <v>#VALUE!</v>
      </c>
      <c r="BP510" s="414">
        <f t="shared" si="124"/>
        <v>-0.14285714285714285</v>
      </c>
      <c r="BQ510" s="409">
        <f t="shared" si="141"/>
        <v>0</v>
      </c>
      <c r="BR510" s="413" t="e">
        <f>IF($BT$510&lt;$I$510,$BQ$510*$I$510,IF(AND($BT$510=1),$BQ$510,IF(AND($BT$510=0),0,$BQ$510*$BT$510)))</f>
        <v>#VALUE!</v>
      </c>
      <c r="BS510" s="417" t="e">
        <f t="shared" si="125"/>
        <v>#VALUE!</v>
      </c>
      <c r="BT510" s="414">
        <f t="shared" si="126"/>
        <v>-0.125</v>
      </c>
      <c r="BU510" s="409">
        <f t="shared" si="142"/>
        <v>0</v>
      </c>
      <c r="BV510" s="413" t="e">
        <f>IF($BX$510&lt;$I$510,$BU$510*$I$510,IF(AND($BX$510=1),$BU$510,IF(AND($BX$510=0),0,$BU$510*$BX$510)))</f>
        <v>#VALUE!</v>
      </c>
      <c r="BW510" s="748" t="e">
        <f t="shared" si="127"/>
        <v>#VALUE!</v>
      </c>
      <c r="BX510" s="415">
        <f t="shared" si="128"/>
        <v>-0.1111111111111111</v>
      </c>
      <c r="BY510" s="659">
        <f t="shared" si="143"/>
        <v>0</v>
      </c>
    </row>
    <row r="511" spans="1:77" s="121" customFormat="1">
      <c r="B511" s="1801"/>
      <c r="C511" s="1802"/>
      <c r="D511" s="1803" t="s">
        <v>290</v>
      </c>
      <c r="E511" s="1804"/>
      <c r="F511" s="1804"/>
      <c r="G511" s="1805"/>
      <c r="H511" s="825"/>
      <c r="I511" s="1210" t="e">
        <f t="shared" si="129"/>
        <v>#VALUE!</v>
      </c>
      <c r="J511" s="390" t="s">
        <v>365</v>
      </c>
      <c r="K511" s="390" t="s">
        <v>365</v>
      </c>
      <c r="L511" s="1333" t="str">
        <f t="shared" si="130"/>
        <v>Non renseigné</v>
      </c>
      <c r="M511" s="390" t="e">
        <f t="shared" si="131"/>
        <v>#N/A</v>
      </c>
      <c r="N511" s="390"/>
      <c r="O511" s="390" t="e">
        <f t="shared" si="132"/>
        <v>#N/A</v>
      </c>
      <c r="P511" s="914"/>
      <c r="Q511" s="393"/>
      <c r="R511" s="945" t="str">
        <f t="shared" si="133"/>
        <v/>
      </c>
      <c r="S511" s="1052" t="e">
        <f t="shared" si="134"/>
        <v>#VALUE!</v>
      </c>
      <c r="T511" s="1052" t="e">
        <f t="shared" si="107"/>
        <v>#VALUE!</v>
      </c>
      <c r="U511" s="1052" t="e">
        <f t="shared" si="107"/>
        <v>#VALUE!</v>
      </c>
      <c r="V511" s="1052" t="e">
        <f t="shared" si="107"/>
        <v>#VALUE!</v>
      </c>
      <c r="W511" s="1052" t="e">
        <f t="shared" si="107"/>
        <v>#VALUE!</v>
      </c>
      <c r="X511" s="1052" t="e">
        <f t="shared" si="107"/>
        <v>#VALUE!</v>
      </c>
      <c r="Y511" s="1052" t="e">
        <f t="shared" si="107"/>
        <v>#VALUE!</v>
      </c>
      <c r="Z511" s="1052" t="e">
        <f t="shared" si="107"/>
        <v>#VALUE!</v>
      </c>
      <c r="AA511" s="1052" t="e">
        <f t="shared" si="107"/>
        <v>#VALUE!</v>
      </c>
      <c r="AB511" s="670" t="e">
        <f t="shared" si="107"/>
        <v>#VALUE!</v>
      </c>
      <c r="AL511" s="413" t="e">
        <f>IF($AO$511&lt;$I$511,$H$511*($M$511/12)*$I$511,$H$511*$AO$511)</f>
        <v>#VALUE!</v>
      </c>
      <c r="AM511" s="408" t="str">
        <f t="shared" si="108"/>
        <v>Non renseigné</v>
      </c>
      <c r="AN511" s="409">
        <f t="shared" si="109"/>
        <v>0</v>
      </c>
      <c r="AO511" s="414" t="str">
        <f t="shared" si="110"/>
        <v/>
      </c>
      <c r="AP511" s="413" t="e">
        <f>IF($AR$511&lt;$I$511,$AN$511*$I$511,IF(AND($AR$511=1),$AN$511,IF(AND($AN$511=0),0,$AN$511*$AR$511)))</f>
        <v>#VALUE!</v>
      </c>
      <c r="AQ511" s="408" t="e">
        <f t="shared" si="111"/>
        <v>#VALUE!</v>
      </c>
      <c r="AR511" s="414">
        <f t="shared" si="112"/>
        <v>-1</v>
      </c>
      <c r="AS511" s="409">
        <f t="shared" si="135"/>
        <v>0</v>
      </c>
      <c r="AT511" s="413" t="e">
        <f>IF($AV$511&lt;$I$511,$AS$511*$I$511,IF(AND($AV$511=1),$AS$511,IF(AND($AS$511=0),0,$AS$511*$AV$511)))</f>
        <v>#VALUE!</v>
      </c>
      <c r="AU511" s="417" t="e">
        <f t="shared" si="113"/>
        <v>#VALUE!</v>
      </c>
      <c r="AV511" s="414">
        <f t="shared" si="114"/>
        <v>-0.5</v>
      </c>
      <c r="AW511" s="409">
        <f t="shared" si="136"/>
        <v>0</v>
      </c>
      <c r="AX511" s="413" t="e">
        <f>IF($AZ$511&lt;$I$511,$AW$511*$I$511,IF(AND($AZ$511=1),$AW$511,IF(AND($AW$511=0),0,$AW$511*$AZ$511)))</f>
        <v>#VALUE!</v>
      </c>
      <c r="AY511" s="408" t="e">
        <f t="shared" si="115"/>
        <v>#VALUE!</v>
      </c>
      <c r="AZ511" s="414">
        <f t="shared" si="116"/>
        <v>-0.33333333333333331</v>
      </c>
      <c r="BA511" s="409">
        <f t="shared" si="137"/>
        <v>0</v>
      </c>
      <c r="BB511" s="413" t="e">
        <f>IF($BD$511&lt;$I$511,$BA$511*$I$511,IF(AND($BD$511=1),$BA$511,IF(AND($BA$511=0),0,$BA$511*$AZ$511)))</f>
        <v>#VALUE!</v>
      </c>
      <c r="BC511" s="408" t="e">
        <f t="shared" si="117"/>
        <v>#VALUE!</v>
      </c>
      <c r="BD511" s="414">
        <f t="shared" si="118"/>
        <v>-0.25</v>
      </c>
      <c r="BE511" s="409">
        <f t="shared" si="138"/>
        <v>0</v>
      </c>
      <c r="BF511" s="413" t="e">
        <f>IF($BH$511&lt;$I$511,$BE$511*$I$511,IF(AND($BH$511=1),$BE$511,IF(AND($BE$511=0),0,$BE$511*$BH$511)))</f>
        <v>#VALUE!</v>
      </c>
      <c r="BG511" s="408" t="e">
        <f t="shared" si="119"/>
        <v>#VALUE!</v>
      </c>
      <c r="BH511" s="414">
        <f t="shared" si="120"/>
        <v>-0.2</v>
      </c>
      <c r="BI511" s="409">
        <f t="shared" si="139"/>
        <v>0</v>
      </c>
      <c r="BJ511" s="413" t="e">
        <f>IF($BL$511&lt;$I$511,$BI$511*$I$511,IF(AND($BL$511=1),$BI$511,IF(AND($BL$511=0),0,$BI$511*$BL$511)))</f>
        <v>#VALUE!</v>
      </c>
      <c r="BK511" s="417" t="e">
        <f t="shared" si="121"/>
        <v>#VALUE!</v>
      </c>
      <c r="BL511" s="414">
        <f t="shared" si="122"/>
        <v>-0.16666666666666666</v>
      </c>
      <c r="BM511" s="409">
        <f t="shared" si="140"/>
        <v>0</v>
      </c>
      <c r="BN511" s="413" t="e">
        <f>IF($BP$511&lt;$I$511,$BM$511*$I$511,IF(AND($BP$511=1),$BM$511,IF(AND($BP$511=0),0,$BM$511*$BP$511)))</f>
        <v>#VALUE!</v>
      </c>
      <c r="BO511" s="417" t="e">
        <f t="shared" si="123"/>
        <v>#VALUE!</v>
      </c>
      <c r="BP511" s="414">
        <f t="shared" si="124"/>
        <v>-0.14285714285714285</v>
      </c>
      <c r="BQ511" s="409">
        <f t="shared" si="141"/>
        <v>0</v>
      </c>
      <c r="BR511" s="413" t="e">
        <f>IF($BT$511&lt;$I$511,$BQ$511*$I$511,IF(AND($BT$511=1),$BQ$511,IF(AND($BT$511=0),0,$BQ$511*$BT$511)))</f>
        <v>#VALUE!</v>
      </c>
      <c r="BS511" s="417" t="e">
        <f t="shared" si="125"/>
        <v>#VALUE!</v>
      </c>
      <c r="BT511" s="414">
        <f t="shared" si="126"/>
        <v>-0.125</v>
      </c>
      <c r="BU511" s="409">
        <f t="shared" si="142"/>
        <v>0</v>
      </c>
      <c r="BV511" s="413" t="e">
        <f>IF($BX$511&lt;$I$511,$BU$511*$I$511,IF(AND($BX$511=1),$BU$511,IF(AND($BX$511=0),0,$BU$511*$BX$511)))</f>
        <v>#VALUE!</v>
      </c>
      <c r="BW511" s="748" t="e">
        <f t="shared" si="127"/>
        <v>#VALUE!</v>
      </c>
      <c r="BX511" s="415">
        <f t="shared" si="128"/>
        <v>-0.1111111111111111</v>
      </c>
      <c r="BY511" s="659">
        <f t="shared" si="143"/>
        <v>0</v>
      </c>
    </row>
    <row r="512" spans="1:77" s="121" customFormat="1" outlineLevel="1">
      <c r="B512" s="1801"/>
      <c r="C512" s="1802"/>
      <c r="D512" s="1803" t="s">
        <v>290</v>
      </c>
      <c r="E512" s="1804"/>
      <c r="F512" s="1804"/>
      <c r="G512" s="1805"/>
      <c r="H512" s="825"/>
      <c r="I512" s="1210" t="e">
        <f t="shared" si="129"/>
        <v>#VALUE!</v>
      </c>
      <c r="J512" s="390" t="s">
        <v>365</v>
      </c>
      <c r="K512" s="390" t="s">
        <v>365</v>
      </c>
      <c r="L512" s="1333" t="str">
        <f t="shared" si="130"/>
        <v>Non renseigné</v>
      </c>
      <c r="M512" s="390" t="e">
        <f t="shared" si="131"/>
        <v>#N/A</v>
      </c>
      <c r="N512" s="390"/>
      <c r="O512" s="390" t="e">
        <f t="shared" si="132"/>
        <v>#N/A</v>
      </c>
      <c r="P512" s="914"/>
      <c r="Q512" s="393"/>
      <c r="R512" s="945" t="str">
        <f t="shared" si="133"/>
        <v/>
      </c>
      <c r="S512" s="1052" t="e">
        <f t="shared" si="134"/>
        <v>#VALUE!</v>
      </c>
      <c r="T512" s="1052" t="e">
        <f t="shared" si="107"/>
        <v>#VALUE!</v>
      </c>
      <c r="U512" s="1052" t="e">
        <f t="shared" si="107"/>
        <v>#VALUE!</v>
      </c>
      <c r="V512" s="1052" t="e">
        <f t="shared" si="107"/>
        <v>#VALUE!</v>
      </c>
      <c r="W512" s="1052" t="e">
        <f t="shared" si="107"/>
        <v>#VALUE!</v>
      </c>
      <c r="X512" s="1052" t="e">
        <f t="shared" si="107"/>
        <v>#VALUE!</v>
      </c>
      <c r="Y512" s="1052" t="e">
        <f t="shared" si="107"/>
        <v>#VALUE!</v>
      </c>
      <c r="Z512" s="1052" t="e">
        <f t="shared" si="107"/>
        <v>#VALUE!</v>
      </c>
      <c r="AA512" s="1052" t="e">
        <f t="shared" si="107"/>
        <v>#VALUE!</v>
      </c>
      <c r="AB512" s="670" t="e">
        <f t="shared" si="107"/>
        <v>#VALUE!</v>
      </c>
      <c r="AL512" s="413" t="e">
        <f>IF($AO$512&lt;$I$512,$H$512*($M$512/12)*$I$512,$H$512*$AO$512)</f>
        <v>#VALUE!</v>
      </c>
      <c r="AM512" s="408" t="str">
        <f t="shared" si="108"/>
        <v>Non renseigné</v>
      </c>
      <c r="AN512" s="409">
        <f t="shared" si="109"/>
        <v>0</v>
      </c>
      <c r="AO512" s="414" t="str">
        <f t="shared" si="110"/>
        <v/>
      </c>
      <c r="AP512" s="413" t="e">
        <f>IF($AR$512&lt;$I$512,$AN$512*$I$512,IF(AND($AR$512=1),$AN$512,IF(AND($AN$512=0),0,$AN$512*$AR$512)))</f>
        <v>#VALUE!</v>
      </c>
      <c r="AQ512" s="408" t="e">
        <f t="shared" si="111"/>
        <v>#VALUE!</v>
      </c>
      <c r="AR512" s="414">
        <f t="shared" si="112"/>
        <v>-1</v>
      </c>
      <c r="AS512" s="409">
        <f t="shared" si="135"/>
        <v>0</v>
      </c>
      <c r="AT512" s="413" t="e">
        <f>IF($AV$512&lt;$I$512,$AS$512*$I$512,IF(AND($AV$512=1),$AS$512,IF(AND($AS$512=0),0,$AS$512*$AV$512)))</f>
        <v>#VALUE!</v>
      </c>
      <c r="AU512" s="417" t="e">
        <f t="shared" si="113"/>
        <v>#VALUE!</v>
      </c>
      <c r="AV512" s="414">
        <f t="shared" si="114"/>
        <v>-0.5</v>
      </c>
      <c r="AW512" s="409">
        <f t="shared" si="136"/>
        <v>0</v>
      </c>
      <c r="AX512" s="413" t="e">
        <f>IF($AZ$512&lt;$I$512,$AW$512*$I$512,IF(AND($AZ$512=1),$AW$512,IF(AND($AW$512=0),0,$AW$512*$AZ$512)))</f>
        <v>#VALUE!</v>
      </c>
      <c r="AY512" s="408" t="e">
        <f t="shared" si="115"/>
        <v>#VALUE!</v>
      </c>
      <c r="AZ512" s="414">
        <f t="shared" si="116"/>
        <v>-0.33333333333333331</v>
      </c>
      <c r="BA512" s="409">
        <f t="shared" si="137"/>
        <v>0</v>
      </c>
      <c r="BB512" s="413" t="e">
        <f>IF($BD$512&lt;$I$512,$BA$512*$I$512,IF(AND($BD$512=1),$BA$512,IF(AND($BA$512=0),0,$BA$512*$AZ$512)))</f>
        <v>#VALUE!</v>
      </c>
      <c r="BC512" s="408" t="e">
        <f t="shared" si="117"/>
        <v>#VALUE!</v>
      </c>
      <c r="BD512" s="414">
        <f t="shared" si="118"/>
        <v>-0.25</v>
      </c>
      <c r="BE512" s="409">
        <f t="shared" si="138"/>
        <v>0</v>
      </c>
      <c r="BF512" s="413" t="e">
        <f>IF($BH$512&lt;$I$512,$BE$512*$I$512,IF(AND($BH$512=1),$BE$512,IF(AND($BE$512=0),0,$BE$512*$BH$512)))</f>
        <v>#VALUE!</v>
      </c>
      <c r="BG512" s="408" t="e">
        <f t="shared" si="119"/>
        <v>#VALUE!</v>
      </c>
      <c r="BH512" s="414">
        <f t="shared" si="120"/>
        <v>-0.2</v>
      </c>
      <c r="BI512" s="409">
        <f t="shared" si="139"/>
        <v>0</v>
      </c>
      <c r="BJ512" s="413" t="e">
        <f>IF($BL$512&lt;$I$512,$BI$512*$I$512,IF(AND($BL$512=1),$BI$512,IF(AND($BL$512=0),0,$BI$512*$BL$512)))</f>
        <v>#VALUE!</v>
      </c>
      <c r="BK512" s="417" t="e">
        <f t="shared" si="121"/>
        <v>#VALUE!</v>
      </c>
      <c r="BL512" s="414">
        <f t="shared" si="122"/>
        <v>-0.16666666666666666</v>
      </c>
      <c r="BM512" s="409">
        <f t="shared" si="140"/>
        <v>0</v>
      </c>
      <c r="BN512" s="413" t="e">
        <f>IF($BP$512&lt;$I$512,$BM$512*$I$512,IF(AND($BP$512=1),$BM$512,IF(AND($BP$512=0),0,$BM$512*$BP$512)))</f>
        <v>#VALUE!</v>
      </c>
      <c r="BO512" s="417" t="e">
        <f t="shared" si="123"/>
        <v>#VALUE!</v>
      </c>
      <c r="BP512" s="414">
        <f t="shared" si="124"/>
        <v>-0.14285714285714285</v>
      </c>
      <c r="BQ512" s="409">
        <f t="shared" si="141"/>
        <v>0</v>
      </c>
      <c r="BR512" s="413" t="e">
        <f>IF($BT$512&lt;$I$512,$BQ$512*$I$512,IF(AND($BT$512=1),$BQ$512,IF(AND($BT$512=0),0,$BQ$512*$BT$512)))</f>
        <v>#VALUE!</v>
      </c>
      <c r="BS512" s="417" t="e">
        <f t="shared" si="125"/>
        <v>#VALUE!</v>
      </c>
      <c r="BT512" s="414">
        <f t="shared" si="126"/>
        <v>-0.125</v>
      </c>
      <c r="BU512" s="409">
        <f t="shared" si="142"/>
        <v>0</v>
      </c>
      <c r="BV512" s="413" t="e">
        <f>IF($BX$512&lt;$I$512,$BU$512*$I$512,IF(AND($BX$512=1),$BU$512,IF(AND($BX$512=0),0,$BU$512*$BX$512)))</f>
        <v>#VALUE!</v>
      </c>
      <c r="BW512" s="748" t="e">
        <f t="shared" si="127"/>
        <v>#VALUE!</v>
      </c>
      <c r="BX512" s="415">
        <f t="shared" si="128"/>
        <v>-0.1111111111111111</v>
      </c>
      <c r="BY512" s="659">
        <f t="shared" si="143"/>
        <v>0</v>
      </c>
    </row>
    <row r="513" spans="1:77" s="121" customFormat="1" outlineLevel="1">
      <c r="B513" s="1801"/>
      <c r="C513" s="1802"/>
      <c r="D513" s="1803" t="s">
        <v>290</v>
      </c>
      <c r="E513" s="1804"/>
      <c r="F513" s="1804"/>
      <c r="G513" s="1805"/>
      <c r="H513" s="826"/>
      <c r="I513" s="1210" t="e">
        <f t="shared" si="129"/>
        <v>#VALUE!</v>
      </c>
      <c r="J513" s="390" t="s">
        <v>365</v>
      </c>
      <c r="K513" s="390" t="s">
        <v>365</v>
      </c>
      <c r="L513" s="1333" t="str">
        <f t="shared" si="130"/>
        <v>Non renseigné</v>
      </c>
      <c r="M513" s="390" t="e">
        <f t="shared" si="131"/>
        <v>#N/A</v>
      </c>
      <c r="N513" s="390"/>
      <c r="O513" s="390" t="e">
        <f t="shared" si="132"/>
        <v>#N/A</v>
      </c>
      <c r="P513" s="914"/>
      <c r="Q513" s="393"/>
      <c r="R513" s="945" t="str">
        <f t="shared" si="133"/>
        <v/>
      </c>
      <c r="S513" s="1052" t="e">
        <f t="shared" si="134"/>
        <v>#VALUE!</v>
      </c>
      <c r="T513" s="1052" t="e">
        <f t="shared" si="107"/>
        <v>#VALUE!</v>
      </c>
      <c r="U513" s="1052" t="e">
        <f t="shared" si="107"/>
        <v>#VALUE!</v>
      </c>
      <c r="V513" s="1052" t="e">
        <f t="shared" si="107"/>
        <v>#VALUE!</v>
      </c>
      <c r="W513" s="1052" t="e">
        <f t="shared" si="107"/>
        <v>#VALUE!</v>
      </c>
      <c r="X513" s="1052" t="e">
        <f t="shared" si="107"/>
        <v>#VALUE!</v>
      </c>
      <c r="Y513" s="1052" t="e">
        <f t="shared" si="107"/>
        <v>#VALUE!</v>
      </c>
      <c r="Z513" s="1052" t="e">
        <f t="shared" si="107"/>
        <v>#VALUE!</v>
      </c>
      <c r="AA513" s="1052" t="e">
        <f t="shared" si="107"/>
        <v>#VALUE!</v>
      </c>
      <c r="AB513" s="670" t="e">
        <f t="shared" si="107"/>
        <v>#VALUE!</v>
      </c>
      <c r="AL513" s="413" t="e">
        <f>IF($AO$513&lt;$I$513,$H$513*($M$513/12)*$I$513,$H$513*$AO$513)</f>
        <v>#VALUE!</v>
      </c>
      <c r="AM513" s="408" t="str">
        <f t="shared" si="108"/>
        <v>Non renseigné</v>
      </c>
      <c r="AN513" s="409">
        <f t="shared" si="109"/>
        <v>0</v>
      </c>
      <c r="AO513" s="414" t="str">
        <f t="shared" si="110"/>
        <v/>
      </c>
      <c r="AP513" s="413" t="e">
        <f>IF($AR$513&lt;$I$513,$AN$513*$I$513,IF(AND($AR$513=1),$AN$513,IF(AND($AN$513=0),0,$AN$513*$AR$513)))</f>
        <v>#VALUE!</v>
      </c>
      <c r="AQ513" s="408" t="e">
        <f t="shared" si="111"/>
        <v>#VALUE!</v>
      </c>
      <c r="AR513" s="414">
        <f t="shared" si="112"/>
        <v>-1</v>
      </c>
      <c r="AS513" s="409">
        <f t="shared" si="135"/>
        <v>0</v>
      </c>
      <c r="AT513" s="413" t="e">
        <f>IF($AV$513&lt;$I$513,$AS$513*$I$513,IF(AND($AV$513=1),$AS$513,IF(AND($AS$513=0),0,$AS$513*$AV$513)))</f>
        <v>#VALUE!</v>
      </c>
      <c r="AU513" s="417" t="e">
        <f t="shared" si="113"/>
        <v>#VALUE!</v>
      </c>
      <c r="AV513" s="414">
        <f t="shared" si="114"/>
        <v>-0.5</v>
      </c>
      <c r="AW513" s="409">
        <f t="shared" si="136"/>
        <v>0</v>
      </c>
      <c r="AX513" s="413" t="e">
        <f>IF($AZ$513&lt;$I$513,$AW$513*$I$513,IF(AND($AZ$513=1),$AW$513,IF(AND($AW$513=0),0,$AW$513*$AZ$513)))</f>
        <v>#VALUE!</v>
      </c>
      <c r="AY513" s="408" t="e">
        <f t="shared" si="115"/>
        <v>#VALUE!</v>
      </c>
      <c r="AZ513" s="414">
        <f t="shared" si="116"/>
        <v>-0.33333333333333331</v>
      </c>
      <c r="BA513" s="409">
        <f t="shared" si="137"/>
        <v>0</v>
      </c>
      <c r="BB513" s="413" t="e">
        <f>IF($BD$513&lt;$I$513,$BA$513*$I$513,IF(AND($BD$513=1),$BA$513,IF(AND($BA$513=0),0,$BA$513*$AZ$513)))</f>
        <v>#VALUE!</v>
      </c>
      <c r="BC513" s="408" t="e">
        <f t="shared" si="117"/>
        <v>#VALUE!</v>
      </c>
      <c r="BD513" s="414">
        <f t="shared" si="118"/>
        <v>-0.25</v>
      </c>
      <c r="BE513" s="409">
        <f t="shared" si="138"/>
        <v>0</v>
      </c>
      <c r="BF513" s="413" t="e">
        <f>IF($BH$513&lt;$I$513,$BE$513*$I$513,IF(AND($BH$513=1),$BE$513,IF(AND($BE$513=0),0,$BE$513*$BH$513)))</f>
        <v>#VALUE!</v>
      </c>
      <c r="BG513" s="408" t="e">
        <f t="shared" si="119"/>
        <v>#VALUE!</v>
      </c>
      <c r="BH513" s="414">
        <f t="shared" si="120"/>
        <v>-0.2</v>
      </c>
      <c r="BI513" s="409">
        <f t="shared" si="139"/>
        <v>0</v>
      </c>
      <c r="BJ513" s="413" t="e">
        <f>IF($BL$513&lt;$I$513,$BI$513*$I$513,IF(AND($BL$513=1),$BI$513,IF(AND($BL$513=0),0,$BI$513*$BL$513)))</f>
        <v>#VALUE!</v>
      </c>
      <c r="BK513" s="417" t="e">
        <f t="shared" si="121"/>
        <v>#VALUE!</v>
      </c>
      <c r="BL513" s="414">
        <f t="shared" si="122"/>
        <v>-0.16666666666666666</v>
      </c>
      <c r="BM513" s="409">
        <f t="shared" si="140"/>
        <v>0</v>
      </c>
      <c r="BN513" s="413" t="e">
        <f>IF($BP$513&lt;$I$513,$BM$513*$I$513,IF(AND($BP$513=1),$BM$513,IF(AND($BP$513=0),0,$BM$513*$BP$513)))</f>
        <v>#VALUE!</v>
      </c>
      <c r="BO513" s="417" t="e">
        <f t="shared" si="123"/>
        <v>#VALUE!</v>
      </c>
      <c r="BP513" s="414">
        <f t="shared" si="124"/>
        <v>-0.14285714285714285</v>
      </c>
      <c r="BQ513" s="409">
        <f t="shared" si="141"/>
        <v>0</v>
      </c>
      <c r="BR513" s="413" t="e">
        <f>IF($BT$513&lt;$I$513,$BQ$513*$I$513,IF(AND($BT$513=1),$BQ$513,IF(AND($BT$513=0),0,$BQ$513*$BT$513)))</f>
        <v>#VALUE!</v>
      </c>
      <c r="BS513" s="417" t="e">
        <f t="shared" si="125"/>
        <v>#VALUE!</v>
      </c>
      <c r="BT513" s="414">
        <f t="shared" si="126"/>
        <v>-0.125</v>
      </c>
      <c r="BU513" s="409">
        <f t="shared" si="142"/>
        <v>0</v>
      </c>
      <c r="BV513" s="413" t="e">
        <f>IF($BX$513&lt;$I$513,$BU$513*$I$513,IF(AND($BX$513=1),$BU$513,IF(AND($BX$513=0),0,$BU$513*$BX$513)))</f>
        <v>#VALUE!</v>
      </c>
      <c r="BW513" s="748" t="e">
        <f t="shared" si="127"/>
        <v>#VALUE!</v>
      </c>
      <c r="BX513" s="415">
        <f t="shared" si="128"/>
        <v>-0.1111111111111111</v>
      </c>
      <c r="BY513" s="659">
        <f t="shared" si="143"/>
        <v>0</v>
      </c>
    </row>
    <row r="514" spans="1:77" s="121" customFormat="1" outlineLevel="1">
      <c r="B514" s="1801"/>
      <c r="C514" s="1802"/>
      <c r="D514" s="1803" t="s">
        <v>290</v>
      </c>
      <c r="E514" s="1804"/>
      <c r="F514" s="1804"/>
      <c r="G514" s="1805"/>
      <c r="H514" s="826"/>
      <c r="I514" s="1210" t="e">
        <f t="shared" si="129"/>
        <v>#VALUE!</v>
      </c>
      <c r="J514" s="390" t="s">
        <v>365</v>
      </c>
      <c r="K514" s="390" t="s">
        <v>365</v>
      </c>
      <c r="L514" s="1333" t="str">
        <f t="shared" si="130"/>
        <v>Non renseigné</v>
      </c>
      <c r="M514" s="390" t="e">
        <f t="shared" si="131"/>
        <v>#N/A</v>
      </c>
      <c r="N514" s="390"/>
      <c r="O514" s="390" t="e">
        <f t="shared" si="132"/>
        <v>#N/A</v>
      </c>
      <c r="P514" s="914"/>
      <c r="Q514" s="393"/>
      <c r="R514" s="945" t="str">
        <f t="shared" si="133"/>
        <v/>
      </c>
      <c r="S514" s="1052" t="e">
        <f t="shared" si="134"/>
        <v>#VALUE!</v>
      </c>
      <c r="T514" s="1052" t="e">
        <f t="shared" si="107"/>
        <v>#VALUE!</v>
      </c>
      <c r="U514" s="1052" t="e">
        <f t="shared" si="107"/>
        <v>#VALUE!</v>
      </c>
      <c r="V514" s="1052" t="e">
        <f t="shared" si="107"/>
        <v>#VALUE!</v>
      </c>
      <c r="W514" s="1052" t="e">
        <f t="shared" si="107"/>
        <v>#VALUE!</v>
      </c>
      <c r="X514" s="1052" t="e">
        <f t="shared" si="107"/>
        <v>#VALUE!</v>
      </c>
      <c r="Y514" s="1052" t="e">
        <f t="shared" si="107"/>
        <v>#VALUE!</v>
      </c>
      <c r="Z514" s="1052" t="e">
        <f t="shared" si="107"/>
        <v>#VALUE!</v>
      </c>
      <c r="AA514" s="1052" t="e">
        <f t="shared" si="107"/>
        <v>#VALUE!</v>
      </c>
      <c r="AB514" s="670" t="e">
        <f t="shared" si="107"/>
        <v>#VALUE!</v>
      </c>
      <c r="AL514" s="413" t="e">
        <f>IF($AO$514&lt;$I$514,$H$514*($M$514/12)*$I$514,$H$514*$AO$514)</f>
        <v>#VALUE!</v>
      </c>
      <c r="AM514" s="408" t="str">
        <f t="shared" si="108"/>
        <v>Non renseigné</v>
      </c>
      <c r="AN514" s="409">
        <f t="shared" si="109"/>
        <v>0</v>
      </c>
      <c r="AO514" s="414" t="str">
        <f t="shared" si="110"/>
        <v/>
      </c>
      <c r="AP514" s="413" t="e">
        <f>IF($AR$514&lt;$I$514,$AN$514*$I$514,IF(AND($AR$514=1),$AN$514,IF(AND($AN$514=0),0,$AN$514*$AR$514)))</f>
        <v>#VALUE!</v>
      </c>
      <c r="AQ514" s="408" t="e">
        <f t="shared" si="111"/>
        <v>#VALUE!</v>
      </c>
      <c r="AR514" s="414">
        <f t="shared" si="112"/>
        <v>-1</v>
      </c>
      <c r="AS514" s="409">
        <f t="shared" si="135"/>
        <v>0</v>
      </c>
      <c r="AT514" s="413" t="e">
        <f>IF($AV$514&lt;$I$514,$AS$514*$I$514,IF(AND($AV$514=1),$AS$514,IF(AND($AS$514=0),0,$AS$514*$AV$514)))</f>
        <v>#VALUE!</v>
      </c>
      <c r="AU514" s="417" t="e">
        <f t="shared" si="113"/>
        <v>#VALUE!</v>
      </c>
      <c r="AV514" s="414">
        <f t="shared" si="114"/>
        <v>-0.5</v>
      </c>
      <c r="AW514" s="409">
        <f t="shared" si="136"/>
        <v>0</v>
      </c>
      <c r="AX514" s="413" t="e">
        <f>IF($AZ$514&lt;$I$514,$AW$514*$I$514,IF(AND($AZ$514=1),$AW$514,IF(AND($AW$514=0),0,$AW$514*$AZ$514)))</f>
        <v>#VALUE!</v>
      </c>
      <c r="AY514" s="408" t="e">
        <f t="shared" si="115"/>
        <v>#VALUE!</v>
      </c>
      <c r="AZ514" s="414">
        <f t="shared" si="116"/>
        <v>-0.33333333333333331</v>
      </c>
      <c r="BA514" s="409">
        <f t="shared" si="137"/>
        <v>0</v>
      </c>
      <c r="BB514" s="413" t="e">
        <f>IF($BD$514&lt;$I$514,$BA$514*$I$514,IF(AND($BD$514=1),$BA$514,IF(AND($BA$514=0),0,$BA$514*$AZ$514)))</f>
        <v>#VALUE!</v>
      </c>
      <c r="BC514" s="408" t="e">
        <f t="shared" si="117"/>
        <v>#VALUE!</v>
      </c>
      <c r="BD514" s="414">
        <f t="shared" si="118"/>
        <v>-0.25</v>
      </c>
      <c r="BE514" s="409">
        <f t="shared" si="138"/>
        <v>0</v>
      </c>
      <c r="BF514" s="413" t="e">
        <f>IF($BH$514&lt;$I$514,$BE$514*$I$514,IF(AND($BH$514=1),$BE$514,IF(AND($BE$514=0),0,$BE$514*$BH$514)))</f>
        <v>#VALUE!</v>
      </c>
      <c r="BG514" s="408" t="e">
        <f t="shared" si="119"/>
        <v>#VALUE!</v>
      </c>
      <c r="BH514" s="414">
        <f t="shared" si="120"/>
        <v>-0.2</v>
      </c>
      <c r="BI514" s="409">
        <f t="shared" si="139"/>
        <v>0</v>
      </c>
      <c r="BJ514" s="413" t="e">
        <f>IF($BL$514&lt;$I$514,$BI$514*$I$514,IF(AND($BL$514=1),$BI$514,IF(AND($BL$514=0),0,$BI$514*$BL$514)))</f>
        <v>#VALUE!</v>
      </c>
      <c r="BK514" s="417" t="e">
        <f t="shared" si="121"/>
        <v>#VALUE!</v>
      </c>
      <c r="BL514" s="414">
        <f t="shared" si="122"/>
        <v>-0.16666666666666666</v>
      </c>
      <c r="BM514" s="409">
        <f t="shared" si="140"/>
        <v>0</v>
      </c>
      <c r="BN514" s="413" t="e">
        <f>IF($BP$514&lt;$I$514,$BM$514*$I$514,IF(AND($BP$514=1),$BM$514,IF(AND($BP$514=0),0,$BM$514*$BP$514)))</f>
        <v>#VALUE!</v>
      </c>
      <c r="BO514" s="417" t="e">
        <f t="shared" si="123"/>
        <v>#VALUE!</v>
      </c>
      <c r="BP514" s="414">
        <f t="shared" si="124"/>
        <v>-0.14285714285714285</v>
      </c>
      <c r="BQ514" s="409">
        <f t="shared" si="141"/>
        <v>0</v>
      </c>
      <c r="BR514" s="413" t="e">
        <f>IF($BT$514&lt;$I$514,$BQ$514*$I$514,IF(AND($BT$514=1),$BQ$514,IF(AND($BT$514=0),0,$BQ$514*$BT$514)))</f>
        <v>#VALUE!</v>
      </c>
      <c r="BS514" s="417" t="e">
        <f t="shared" si="125"/>
        <v>#VALUE!</v>
      </c>
      <c r="BT514" s="414">
        <f t="shared" si="126"/>
        <v>-0.125</v>
      </c>
      <c r="BU514" s="409">
        <f t="shared" si="142"/>
        <v>0</v>
      </c>
      <c r="BV514" s="413" t="e">
        <f>IF($BX$514&lt;$I$514,$BU$514*$I$514,IF(AND($BX$514=1),$BU$514,IF(AND($BX$514=0),0,$BU$514*$BX$514)))</f>
        <v>#VALUE!</v>
      </c>
      <c r="BW514" s="748" t="e">
        <f t="shared" si="127"/>
        <v>#VALUE!</v>
      </c>
      <c r="BX514" s="415">
        <f t="shared" si="128"/>
        <v>-0.1111111111111111</v>
      </c>
      <c r="BY514" s="659">
        <f t="shared" si="143"/>
        <v>0</v>
      </c>
    </row>
    <row r="515" spans="1:77" s="121" customFormat="1" outlineLevel="1">
      <c r="B515" s="1801"/>
      <c r="C515" s="1802"/>
      <c r="D515" s="1803" t="s">
        <v>290</v>
      </c>
      <c r="E515" s="1804"/>
      <c r="F515" s="1804"/>
      <c r="G515" s="1805"/>
      <c r="H515" s="826"/>
      <c r="I515" s="1210" t="e">
        <f t="shared" si="129"/>
        <v>#VALUE!</v>
      </c>
      <c r="J515" s="390" t="s">
        <v>365</v>
      </c>
      <c r="K515" s="390" t="s">
        <v>365</v>
      </c>
      <c r="L515" s="1333" t="str">
        <f t="shared" si="130"/>
        <v>Non renseigné</v>
      </c>
      <c r="M515" s="390" t="e">
        <f t="shared" si="131"/>
        <v>#N/A</v>
      </c>
      <c r="N515" s="390"/>
      <c r="O515" s="390" t="e">
        <f t="shared" si="132"/>
        <v>#N/A</v>
      </c>
      <c r="P515" s="914"/>
      <c r="Q515" s="393"/>
      <c r="R515" s="945" t="str">
        <f t="shared" si="133"/>
        <v/>
      </c>
      <c r="S515" s="1052" t="e">
        <f t="shared" si="134"/>
        <v>#VALUE!</v>
      </c>
      <c r="T515" s="1052" t="e">
        <f t="shared" si="107"/>
        <v>#VALUE!</v>
      </c>
      <c r="U515" s="1052" t="e">
        <f t="shared" si="107"/>
        <v>#VALUE!</v>
      </c>
      <c r="V515" s="1052" t="e">
        <f t="shared" si="107"/>
        <v>#VALUE!</v>
      </c>
      <c r="W515" s="1052" t="e">
        <f t="shared" si="107"/>
        <v>#VALUE!</v>
      </c>
      <c r="X515" s="1052" t="e">
        <f t="shared" si="107"/>
        <v>#VALUE!</v>
      </c>
      <c r="Y515" s="1052" t="e">
        <f t="shared" si="107"/>
        <v>#VALUE!</v>
      </c>
      <c r="Z515" s="1052" t="e">
        <f t="shared" si="107"/>
        <v>#VALUE!</v>
      </c>
      <c r="AA515" s="1052" t="e">
        <f t="shared" si="107"/>
        <v>#VALUE!</v>
      </c>
      <c r="AB515" s="670" t="e">
        <f t="shared" si="107"/>
        <v>#VALUE!</v>
      </c>
      <c r="AL515" s="413" t="e">
        <f>IF($AO$515&lt;$I$515,$H$515*($M$515/12)*$I$515,$H$515*$AO$515)</f>
        <v>#VALUE!</v>
      </c>
      <c r="AM515" s="408" t="str">
        <f t="shared" si="108"/>
        <v>Non renseigné</v>
      </c>
      <c r="AN515" s="409">
        <f t="shared" si="109"/>
        <v>0</v>
      </c>
      <c r="AO515" s="414" t="str">
        <f t="shared" si="110"/>
        <v/>
      </c>
      <c r="AP515" s="413" t="e">
        <f>IF($AR$515&lt;$I$515,$AN$515*$I$515,IF(AND($AR$515=1),$AN$515,IF(AND($AN$515=0),0,$AN$515*$AR$515)))</f>
        <v>#VALUE!</v>
      </c>
      <c r="AQ515" s="408" t="e">
        <f t="shared" si="111"/>
        <v>#VALUE!</v>
      </c>
      <c r="AR515" s="414">
        <f t="shared" si="112"/>
        <v>-1</v>
      </c>
      <c r="AS515" s="409">
        <f t="shared" si="135"/>
        <v>0</v>
      </c>
      <c r="AT515" s="413" t="e">
        <f>IF($AV$515&lt;$I$515,$AS$515*$I$515,IF(AND($AV$515=1),$AS$515,IF(AND($AS$515=0),0,$AS$515*$AV$515)))</f>
        <v>#VALUE!</v>
      </c>
      <c r="AU515" s="417" t="e">
        <f t="shared" si="113"/>
        <v>#VALUE!</v>
      </c>
      <c r="AV515" s="414">
        <f t="shared" si="114"/>
        <v>-0.5</v>
      </c>
      <c r="AW515" s="409">
        <f t="shared" si="136"/>
        <v>0</v>
      </c>
      <c r="AX515" s="413" t="e">
        <f>IF($AZ$515&lt;$I$515,$AW$515*$I$515,IF(AND($AZ$515=1),$AW$515,IF(AND($AW$515=0),0,$AW$515*$AZ$515)))</f>
        <v>#VALUE!</v>
      </c>
      <c r="AY515" s="408" t="e">
        <f t="shared" si="115"/>
        <v>#VALUE!</v>
      </c>
      <c r="AZ515" s="414">
        <f t="shared" si="116"/>
        <v>-0.33333333333333331</v>
      </c>
      <c r="BA515" s="409">
        <f t="shared" si="137"/>
        <v>0</v>
      </c>
      <c r="BB515" s="413" t="e">
        <f>IF($BD$515&lt;$I$515,$BA$515*$I$515,IF(AND($BD$515=1),$BA$515,IF(AND($BA$515=0),0,$BA$515*$AZ$515)))</f>
        <v>#VALUE!</v>
      </c>
      <c r="BC515" s="408" t="e">
        <f t="shared" si="117"/>
        <v>#VALUE!</v>
      </c>
      <c r="BD515" s="414">
        <f t="shared" si="118"/>
        <v>-0.25</v>
      </c>
      <c r="BE515" s="409">
        <f t="shared" si="138"/>
        <v>0</v>
      </c>
      <c r="BF515" s="413" t="e">
        <f>IF($BH$515&lt;$I$515,$BE$515*$I$515,IF(AND($BH$515=1),$BE$515,IF(AND($BE$515=0),0,$BE$515*$BH$515)))</f>
        <v>#VALUE!</v>
      </c>
      <c r="BG515" s="408" t="e">
        <f t="shared" si="119"/>
        <v>#VALUE!</v>
      </c>
      <c r="BH515" s="414">
        <f t="shared" si="120"/>
        <v>-0.2</v>
      </c>
      <c r="BI515" s="409">
        <f t="shared" si="139"/>
        <v>0</v>
      </c>
      <c r="BJ515" s="413" t="e">
        <f>IF($BL$515&lt;$I$515,$BI$515*$I$515,IF(AND($BL$515=1),$BI$515,IF(AND($BL$515=0),0,$BI$515*$BL$515)))</f>
        <v>#VALUE!</v>
      </c>
      <c r="BK515" s="417" t="e">
        <f t="shared" si="121"/>
        <v>#VALUE!</v>
      </c>
      <c r="BL515" s="414">
        <f t="shared" si="122"/>
        <v>-0.16666666666666666</v>
      </c>
      <c r="BM515" s="409">
        <f t="shared" si="140"/>
        <v>0</v>
      </c>
      <c r="BN515" s="413" t="e">
        <f>IF($BP$515&lt;$I$515,$BM$515*$I$515,IF(AND($BP$515=1),$BM$515,IF(AND($BP$515=0),0,$BM$515*$BP$515)))</f>
        <v>#VALUE!</v>
      </c>
      <c r="BO515" s="417" t="e">
        <f t="shared" si="123"/>
        <v>#VALUE!</v>
      </c>
      <c r="BP515" s="414">
        <f t="shared" si="124"/>
        <v>-0.14285714285714285</v>
      </c>
      <c r="BQ515" s="409">
        <f t="shared" si="141"/>
        <v>0</v>
      </c>
      <c r="BR515" s="413" t="e">
        <f>IF($BT$515&lt;$I$515,$BQ$515*$I$515,IF(AND($BT$515=1),$BQ$515,IF(AND($BT$515=0),0,$BQ$515*$BT$515)))</f>
        <v>#VALUE!</v>
      </c>
      <c r="BS515" s="417" t="e">
        <f t="shared" si="125"/>
        <v>#VALUE!</v>
      </c>
      <c r="BT515" s="414">
        <f t="shared" si="126"/>
        <v>-0.125</v>
      </c>
      <c r="BU515" s="409">
        <f t="shared" si="142"/>
        <v>0</v>
      </c>
      <c r="BV515" s="413" t="e">
        <f>IF($BX$515&lt;$I$515,$BU$515*$I$515,IF(AND($BX$515=1),$BU$515,IF(AND($BX$515=0),0,$BU$515*$BX$515)))</f>
        <v>#VALUE!</v>
      </c>
      <c r="BW515" s="748" t="e">
        <f t="shared" si="127"/>
        <v>#VALUE!</v>
      </c>
      <c r="BX515" s="415">
        <f t="shared" si="128"/>
        <v>-0.1111111111111111</v>
      </c>
      <c r="BY515" s="659">
        <f t="shared" si="143"/>
        <v>0</v>
      </c>
    </row>
    <row r="516" spans="1:77" s="121" customFormat="1" outlineLevel="1">
      <c r="B516" s="1801"/>
      <c r="C516" s="1802"/>
      <c r="D516" s="1803" t="s">
        <v>290</v>
      </c>
      <c r="E516" s="1804"/>
      <c r="F516" s="1804"/>
      <c r="G516" s="1805"/>
      <c r="H516" s="826"/>
      <c r="I516" s="1210" t="e">
        <f t="shared" si="129"/>
        <v>#VALUE!</v>
      </c>
      <c r="J516" s="390" t="s">
        <v>365</v>
      </c>
      <c r="K516" s="390" t="s">
        <v>365</v>
      </c>
      <c r="L516" s="1333" t="str">
        <f t="shared" si="130"/>
        <v>Non renseigné</v>
      </c>
      <c r="M516" s="390" t="e">
        <f t="shared" si="131"/>
        <v>#N/A</v>
      </c>
      <c r="N516" s="390"/>
      <c r="O516" s="390" t="e">
        <f t="shared" si="132"/>
        <v>#N/A</v>
      </c>
      <c r="P516" s="914"/>
      <c r="Q516" s="393"/>
      <c r="R516" s="945" t="str">
        <f t="shared" si="133"/>
        <v/>
      </c>
      <c r="S516" s="1052" t="e">
        <f t="shared" si="134"/>
        <v>#VALUE!</v>
      </c>
      <c r="T516" s="1052" t="e">
        <f t="shared" si="107"/>
        <v>#VALUE!</v>
      </c>
      <c r="U516" s="1052" t="e">
        <f t="shared" si="107"/>
        <v>#VALUE!</v>
      </c>
      <c r="V516" s="1052" t="e">
        <f t="shared" si="107"/>
        <v>#VALUE!</v>
      </c>
      <c r="W516" s="1052" t="e">
        <f t="shared" si="107"/>
        <v>#VALUE!</v>
      </c>
      <c r="X516" s="1052" t="e">
        <f t="shared" si="107"/>
        <v>#VALUE!</v>
      </c>
      <c r="Y516" s="1052" t="e">
        <f t="shared" si="107"/>
        <v>#VALUE!</v>
      </c>
      <c r="Z516" s="1052" t="e">
        <f t="shared" si="107"/>
        <v>#VALUE!</v>
      </c>
      <c r="AA516" s="1052" t="e">
        <f t="shared" si="107"/>
        <v>#VALUE!</v>
      </c>
      <c r="AB516" s="670" t="e">
        <f t="shared" si="107"/>
        <v>#VALUE!</v>
      </c>
      <c r="AL516" s="413" t="e">
        <f>IF($AO$516&lt;$I$516,$H$516*($M$516/12)*$I$516,$H$516*$AO$516)</f>
        <v>#VALUE!</v>
      </c>
      <c r="AM516" s="408" t="str">
        <f t="shared" si="108"/>
        <v>Non renseigné</v>
      </c>
      <c r="AN516" s="409">
        <f t="shared" si="109"/>
        <v>0</v>
      </c>
      <c r="AO516" s="414" t="str">
        <f t="shared" si="110"/>
        <v/>
      </c>
      <c r="AP516" s="413" t="e">
        <f>IF($AR$516&lt;$I$516,$AN$516*$I$516,IF(AND($AR$516=1),$AN$516,IF(AND($AN$516=0),0,$AN$516*$AR$516)))</f>
        <v>#VALUE!</v>
      </c>
      <c r="AQ516" s="408" t="e">
        <f t="shared" si="111"/>
        <v>#VALUE!</v>
      </c>
      <c r="AR516" s="414">
        <f t="shared" si="112"/>
        <v>-1</v>
      </c>
      <c r="AS516" s="409">
        <f t="shared" si="135"/>
        <v>0</v>
      </c>
      <c r="AT516" s="413" t="e">
        <f>IF($AV$516&lt;$I$516,$AS$516*$I$516,IF(AND($AV$516=1),$AS$516,IF(AND($AS$516=0),0,$AS$516*$AV$516)))</f>
        <v>#VALUE!</v>
      </c>
      <c r="AU516" s="417" t="e">
        <f t="shared" si="113"/>
        <v>#VALUE!</v>
      </c>
      <c r="AV516" s="414">
        <f t="shared" si="114"/>
        <v>-0.5</v>
      </c>
      <c r="AW516" s="409">
        <f t="shared" si="136"/>
        <v>0</v>
      </c>
      <c r="AX516" s="413" t="e">
        <f>IF($AZ$516&lt;$I$516,$AW$516*$I$516,IF(AND($AZ$516=1),$AW$516,IF(AND($AW$516=0),0,$AW$516*$AZ$516)))</f>
        <v>#VALUE!</v>
      </c>
      <c r="AY516" s="408" t="e">
        <f t="shared" si="115"/>
        <v>#VALUE!</v>
      </c>
      <c r="AZ516" s="414">
        <f t="shared" si="116"/>
        <v>-0.33333333333333331</v>
      </c>
      <c r="BA516" s="409">
        <f t="shared" si="137"/>
        <v>0</v>
      </c>
      <c r="BB516" s="413" t="e">
        <f>IF($BD$516&lt;$I$516,$BA$516*$I$516,IF(AND($BD$516=1),$BA$516,IF(AND($BA$516=0),0,$BA$516*$AZ$516)))</f>
        <v>#VALUE!</v>
      </c>
      <c r="BC516" s="408" t="e">
        <f t="shared" si="117"/>
        <v>#VALUE!</v>
      </c>
      <c r="BD516" s="414">
        <f t="shared" si="118"/>
        <v>-0.25</v>
      </c>
      <c r="BE516" s="409">
        <f t="shared" si="138"/>
        <v>0</v>
      </c>
      <c r="BF516" s="413" t="e">
        <f>IF($BH$516&lt;$I$516,$BE$516*$I$516,IF(AND($BH$516=1),$BE$516,IF(AND($BE$516=0),0,$BE$516*$BH$516)))</f>
        <v>#VALUE!</v>
      </c>
      <c r="BG516" s="408" t="e">
        <f t="shared" si="119"/>
        <v>#VALUE!</v>
      </c>
      <c r="BH516" s="414">
        <f t="shared" si="120"/>
        <v>-0.2</v>
      </c>
      <c r="BI516" s="409">
        <f t="shared" si="139"/>
        <v>0</v>
      </c>
      <c r="BJ516" s="413" t="e">
        <f>IF($BL$516&lt;$I$516,$BI$516*$I$516,IF(AND($BL$516=1),$BI$516,IF(AND($BL$516=0),0,$BI$516*$BL$516)))</f>
        <v>#VALUE!</v>
      </c>
      <c r="BK516" s="417" t="e">
        <f t="shared" si="121"/>
        <v>#VALUE!</v>
      </c>
      <c r="BL516" s="414">
        <f t="shared" si="122"/>
        <v>-0.16666666666666666</v>
      </c>
      <c r="BM516" s="409">
        <f t="shared" si="140"/>
        <v>0</v>
      </c>
      <c r="BN516" s="413" t="e">
        <f>IF($BP$516&lt;$I$516,$BM$516*$I$516,IF(AND($BP$516=1),$BM$516,IF(AND($BP$516=0),0,$BM$516*$BP$516)))</f>
        <v>#VALUE!</v>
      </c>
      <c r="BO516" s="417" t="e">
        <f t="shared" si="123"/>
        <v>#VALUE!</v>
      </c>
      <c r="BP516" s="414">
        <f t="shared" si="124"/>
        <v>-0.14285714285714285</v>
      </c>
      <c r="BQ516" s="409">
        <f t="shared" si="141"/>
        <v>0</v>
      </c>
      <c r="BR516" s="413" t="e">
        <f>IF($BT$516&lt;$I$516,$BQ$516*$I$516,IF(AND($BT$516=1),$BQ$516,IF(AND($BT$516=0),0,$BQ$516*$BT$516)))</f>
        <v>#VALUE!</v>
      </c>
      <c r="BS516" s="417" t="e">
        <f t="shared" si="125"/>
        <v>#VALUE!</v>
      </c>
      <c r="BT516" s="414">
        <f t="shared" si="126"/>
        <v>-0.125</v>
      </c>
      <c r="BU516" s="409">
        <f t="shared" si="142"/>
        <v>0</v>
      </c>
      <c r="BV516" s="413" t="e">
        <f>IF($BX$516&lt;$I$516,$BU$516*$I$516,IF(AND($BX$516=1),$BU$516,IF(AND($BX$516=0),0,$BU$516*$BX$516)))</f>
        <v>#VALUE!</v>
      </c>
      <c r="BW516" s="748" t="e">
        <f t="shared" si="127"/>
        <v>#VALUE!</v>
      </c>
      <c r="BX516" s="415">
        <f t="shared" si="128"/>
        <v>-0.1111111111111111</v>
      </c>
      <c r="BY516" s="659">
        <f t="shared" si="143"/>
        <v>0</v>
      </c>
    </row>
    <row r="517" spans="1:77" s="121" customFormat="1" outlineLevel="1">
      <c r="B517" s="1801"/>
      <c r="C517" s="1802"/>
      <c r="D517" s="1803" t="s">
        <v>290</v>
      </c>
      <c r="E517" s="1804"/>
      <c r="F517" s="1804"/>
      <c r="G517" s="1805"/>
      <c r="H517" s="826"/>
      <c r="I517" s="1210" t="e">
        <f t="shared" si="129"/>
        <v>#VALUE!</v>
      </c>
      <c r="J517" s="390" t="s">
        <v>365</v>
      </c>
      <c r="K517" s="390" t="s">
        <v>365</v>
      </c>
      <c r="L517" s="1333" t="str">
        <f t="shared" si="130"/>
        <v>Non renseigné</v>
      </c>
      <c r="M517" s="390" t="e">
        <f t="shared" si="131"/>
        <v>#N/A</v>
      </c>
      <c r="N517" s="390"/>
      <c r="O517" s="390" t="e">
        <f t="shared" si="132"/>
        <v>#N/A</v>
      </c>
      <c r="P517" s="914"/>
      <c r="Q517" s="393"/>
      <c r="R517" s="945" t="str">
        <f t="shared" si="133"/>
        <v/>
      </c>
      <c r="S517" s="1052" t="e">
        <f t="shared" si="134"/>
        <v>#VALUE!</v>
      </c>
      <c r="T517" s="1052" t="e">
        <f t="shared" si="107"/>
        <v>#VALUE!</v>
      </c>
      <c r="U517" s="1052" t="e">
        <f t="shared" si="107"/>
        <v>#VALUE!</v>
      </c>
      <c r="V517" s="1052" t="e">
        <f t="shared" si="107"/>
        <v>#VALUE!</v>
      </c>
      <c r="W517" s="1052" t="e">
        <f t="shared" si="107"/>
        <v>#VALUE!</v>
      </c>
      <c r="X517" s="1052" t="e">
        <f t="shared" si="107"/>
        <v>#VALUE!</v>
      </c>
      <c r="Y517" s="1052" t="e">
        <f t="shared" si="107"/>
        <v>#VALUE!</v>
      </c>
      <c r="Z517" s="1052" t="e">
        <f t="shared" si="107"/>
        <v>#VALUE!</v>
      </c>
      <c r="AA517" s="1052" t="e">
        <f t="shared" si="107"/>
        <v>#VALUE!</v>
      </c>
      <c r="AB517" s="670" t="e">
        <f t="shared" si="107"/>
        <v>#VALUE!</v>
      </c>
      <c r="AL517" s="413" t="e">
        <f>IF($AO$517&lt;$I$517,$H$517*($M$517/12)*$I$517,$H$517*$AO$517)</f>
        <v>#VALUE!</v>
      </c>
      <c r="AM517" s="408" t="str">
        <f t="shared" si="108"/>
        <v>Non renseigné</v>
      </c>
      <c r="AN517" s="409">
        <f t="shared" si="109"/>
        <v>0</v>
      </c>
      <c r="AO517" s="414" t="str">
        <f t="shared" si="110"/>
        <v/>
      </c>
      <c r="AP517" s="413" t="e">
        <f>IF($AR$517&lt;$I$517,$AN$517*$I$517,IF(AND($AR$517=1),$AN$517,IF(AND($AN$517=0),0,$AN$517*$AR$517)))</f>
        <v>#VALUE!</v>
      </c>
      <c r="AQ517" s="408" t="e">
        <f t="shared" si="111"/>
        <v>#VALUE!</v>
      </c>
      <c r="AR517" s="414">
        <f t="shared" si="112"/>
        <v>-1</v>
      </c>
      <c r="AS517" s="409">
        <f t="shared" si="135"/>
        <v>0</v>
      </c>
      <c r="AT517" s="413" t="e">
        <f>IF($AV$517&lt;$I$517,$AS$517*$I$517,IF(AND($AV$517=1),$AS$517,IF(AND($AS$517=0),0,$AS$517*$AV$517)))</f>
        <v>#VALUE!</v>
      </c>
      <c r="AU517" s="417" t="e">
        <f t="shared" si="113"/>
        <v>#VALUE!</v>
      </c>
      <c r="AV517" s="414">
        <f t="shared" si="114"/>
        <v>-0.5</v>
      </c>
      <c r="AW517" s="409">
        <f t="shared" si="136"/>
        <v>0</v>
      </c>
      <c r="AX517" s="413" t="e">
        <f>IF($AZ$517&lt;$I$517,$AW$517*$I$517,IF(AND($AZ$517=1),$AW$517,IF(AND($AW$517=0),0,$AW$517*$AZ$517)))</f>
        <v>#VALUE!</v>
      </c>
      <c r="AY517" s="408" t="e">
        <f t="shared" si="115"/>
        <v>#VALUE!</v>
      </c>
      <c r="AZ517" s="414">
        <f t="shared" si="116"/>
        <v>-0.33333333333333331</v>
      </c>
      <c r="BA517" s="409">
        <f t="shared" si="137"/>
        <v>0</v>
      </c>
      <c r="BB517" s="413" t="e">
        <f>IF($BD$517&lt;$I$517,$BA$517*$I$517,IF(AND($BD$517=1),$BA$517,IF(AND($BA$517=0),0,$BA$517*$AZ$517)))</f>
        <v>#VALUE!</v>
      </c>
      <c r="BC517" s="408" t="e">
        <f t="shared" si="117"/>
        <v>#VALUE!</v>
      </c>
      <c r="BD517" s="414">
        <f t="shared" si="118"/>
        <v>-0.25</v>
      </c>
      <c r="BE517" s="409">
        <f t="shared" si="138"/>
        <v>0</v>
      </c>
      <c r="BF517" s="413" t="e">
        <f>IF($BH$517&lt;$I$517,$BE$517*$I$517,IF(AND($BH$517=1),$BE$517,IF(AND($BE$517=0),0,$BE$517*$BH$517)))</f>
        <v>#VALUE!</v>
      </c>
      <c r="BG517" s="408" t="e">
        <f t="shared" si="119"/>
        <v>#VALUE!</v>
      </c>
      <c r="BH517" s="414">
        <f t="shared" si="120"/>
        <v>-0.2</v>
      </c>
      <c r="BI517" s="409">
        <f t="shared" si="139"/>
        <v>0</v>
      </c>
      <c r="BJ517" s="413" t="e">
        <f>IF($BL$517&lt;$I$517,$BI$517*$I$517,IF(AND($BL$517=1),$BI$517,IF(AND($BL$517=0),0,$BI$517*$BL$517)))</f>
        <v>#VALUE!</v>
      </c>
      <c r="BK517" s="417" t="e">
        <f t="shared" si="121"/>
        <v>#VALUE!</v>
      </c>
      <c r="BL517" s="414">
        <f t="shared" si="122"/>
        <v>-0.16666666666666666</v>
      </c>
      <c r="BM517" s="409">
        <f t="shared" si="140"/>
        <v>0</v>
      </c>
      <c r="BN517" s="413" t="e">
        <f>IF($BP$517&lt;$I$517,$BM$517*$I$517,IF(AND($BP$517=1),$BM$517,IF(AND($BP$517=0),0,$BM$517*$BP$517)))</f>
        <v>#VALUE!</v>
      </c>
      <c r="BO517" s="417" t="e">
        <f t="shared" si="123"/>
        <v>#VALUE!</v>
      </c>
      <c r="BP517" s="414">
        <f t="shared" si="124"/>
        <v>-0.14285714285714285</v>
      </c>
      <c r="BQ517" s="409">
        <f t="shared" si="141"/>
        <v>0</v>
      </c>
      <c r="BR517" s="413" t="e">
        <f>IF($BT$517&lt;$I$517,$BQ$517*$I$517,IF(AND($BT$517=1),$BQ$517,IF(AND($BT$517=0),0,$BQ$517*$BT$517)))</f>
        <v>#VALUE!</v>
      </c>
      <c r="BS517" s="417" t="e">
        <f t="shared" si="125"/>
        <v>#VALUE!</v>
      </c>
      <c r="BT517" s="414">
        <f t="shared" si="126"/>
        <v>-0.125</v>
      </c>
      <c r="BU517" s="409">
        <f t="shared" si="142"/>
        <v>0</v>
      </c>
      <c r="BV517" s="413" t="e">
        <f>IF($BX$517&lt;$I$517,$BU$517*$I$517,IF(AND($BX$517=1),$BU$517,IF(AND($BX$517=0),0,$BU$517*$BX$517)))</f>
        <v>#VALUE!</v>
      </c>
      <c r="BW517" s="748" t="e">
        <f t="shared" si="127"/>
        <v>#VALUE!</v>
      </c>
      <c r="BX517" s="415">
        <f t="shared" si="128"/>
        <v>-0.1111111111111111</v>
      </c>
      <c r="BY517" s="659">
        <f t="shared" si="143"/>
        <v>0</v>
      </c>
    </row>
    <row r="518" spans="1:77" s="121" customFormat="1" outlineLevel="1">
      <c r="B518" s="1806"/>
      <c r="C518" s="1807"/>
      <c r="D518" s="1835" t="s">
        <v>290</v>
      </c>
      <c r="E518" s="1836"/>
      <c r="F518" s="1836"/>
      <c r="G518" s="1825"/>
      <c r="H518" s="827"/>
      <c r="I518" s="1211" t="e">
        <f t="shared" si="129"/>
        <v>#VALUE!</v>
      </c>
      <c r="J518" s="733" t="s">
        <v>365</v>
      </c>
      <c r="K518" s="733" t="s">
        <v>365</v>
      </c>
      <c r="L518" s="1333" t="str">
        <f t="shared" si="130"/>
        <v>Non renseigné</v>
      </c>
      <c r="M518" s="733" t="e">
        <f t="shared" si="131"/>
        <v>#N/A</v>
      </c>
      <c r="N518" s="733"/>
      <c r="O518" s="733" t="e">
        <f t="shared" si="132"/>
        <v>#N/A</v>
      </c>
      <c r="P518" s="1050"/>
      <c r="Q518" s="735"/>
      <c r="R518" s="945" t="str">
        <f t="shared" si="133"/>
        <v/>
      </c>
      <c r="S518" s="1052" t="e">
        <f t="shared" si="134"/>
        <v>#VALUE!</v>
      </c>
      <c r="T518" s="1052" t="e">
        <f t="shared" si="107"/>
        <v>#VALUE!</v>
      </c>
      <c r="U518" s="1052" t="e">
        <f t="shared" si="107"/>
        <v>#VALUE!</v>
      </c>
      <c r="V518" s="1052" t="e">
        <f t="shared" si="107"/>
        <v>#VALUE!</v>
      </c>
      <c r="W518" s="1052" t="e">
        <f t="shared" si="107"/>
        <v>#VALUE!</v>
      </c>
      <c r="X518" s="1052" t="e">
        <f t="shared" si="107"/>
        <v>#VALUE!</v>
      </c>
      <c r="Y518" s="1052" t="e">
        <f t="shared" si="107"/>
        <v>#VALUE!</v>
      </c>
      <c r="Z518" s="1052" t="e">
        <f t="shared" si="107"/>
        <v>#VALUE!</v>
      </c>
      <c r="AA518" s="1052" t="e">
        <f t="shared" si="107"/>
        <v>#VALUE!</v>
      </c>
      <c r="AB518" s="670" t="e">
        <f t="shared" si="107"/>
        <v>#VALUE!</v>
      </c>
      <c r="AL518" s="742" t="e">
        <f>IF($AO$518&lt;$I$518,$H$518*($M$518/12)*$I$518,$H$518*$AO$518)</f>
        <v>#VALUE!</v>
      </c>
      <c r="AM518" s="417" t="str">
        <f t="shared" si="108"/>
        <v>Non renseigné</v>
      </c>
      <c r="AN518" s="409">
        <f t="shared" si="109"/>
        <v>0</v>
      </c>
      <c r="AO518" s="744" t="str">
        <f t="shared" si="110"/>
        <v/>
      </c>
      <c r="AP518" s="742" t="e">
        <f>IF($AR$518&lt;$I$518,$AN$518*$I$518,IF(AND($AR$518=1),$AN$518,IF(AND($AN$518=0),0,$AN$518*$AR$518)))</f>
        <v>#VALUE!</v>
      </c>
      <c r="AQ518" s="408" t="e">
        <f t="shared" si="111"/>
        <v>#VALUE!</v>
      </c>
      <c r="AR518" s="744">
        <f t="shared" si="112"/>
        <v>-1</v>
      </c>
      <c r="AS518" s="743">
        <f t="shared" si="135"/>
        <v>0</v>
      </c>
      <c r="AT518" s="742" t="e">
        <f>IF($AV$518&lt;$I$518,$AS$518*$I$518,IF(AND($AV$518=1),$AS$518,IF(AND($AS$518=0),0,$AS$518*$AV$518)))</f>
        <v>#VALUE!</v>
      </c>
      <c r="AU518" s="417" t="e">
        <f t="shared" si="113"/>
        <v>#VALUE!</v>
      </c>
      <c r="AV518" s="744">
        <f t="shared" si="114"/>
        <v>-0.5</v>
      </c>
      <c r="AW518" s="743">
        <f t="shared" si="136"/>
        <v>0</v>
      </c>
      <c r="AX518" s="742" t="e">
        <f>IF($AZ$518&lt;$I$518,$AW$518*$I$518,IF(AND($AZ$518=1),$AW$518,IF(AND($AW$518=0),0,$AW$518*$AZ$518)))</f>
        <v>#VALUE!</v>
      </c>
      <c r="AY518" s="408" t="e">
        <f t="shared" si="115"/>
        <v>#VALUE!</v>
      </c>
      <c r="AZ518" s="744">
        <f t="shared" si="116"/>
        <v>-0.33333333333333331</v>
      </c>
      <c r="BA518" s="743">
        <f t="shared" si="137"/>
        <v>0</v>
      </c>
      <c r="BB518" s="742" t="e">
        <f>IF($BD$518&lt;$I$518,$BA$518*$I$518,IF(AND($BD$518=1),$BA$518,IF(AND($BA$518=0),0,$BA$518*$AZ$518)))</f>
        <v>#VALUE!</v>
      </c>
      <c r="BC518" s="408" t="e">
        <f t="shared" si="117"/>
        <v>#VALUE!</v>
      </c>
      <c r="BD518" s="744">
        <f t="shared" si="118"/>
        <v>-0.25</v>
      </c>
      <c r="BE518" s="743">
        <f t="shared" si="138"/>
        <v>0</v>
      </c>
      <c r="BF518" s="742" t="e">
        <f>IF($BH$518&lt;$I$518,$BE$518*$I$518,IF(AND($BH$518=1),$BE$518,IF(AND($BE$518=0),0,$BE$518*$BH$518)))</f>
        <v>#VALUE!</v>
      </c>
      <c r="BG518" s="408" t="e">
        <f t="shared" si="119"/>
        <v>#VALUE!</v>
      </c>
      <c r="BH518" s="744">
        <f t="shared" si="120"/>
        <v>-0.2</v>
      </c>
      <c r="BI518" s="743">
        <f t="shared" si="139"/>
        <v>0</v>
      </c>
      <c r="BJ518" s="742" t="e">
        <f>IF($BL$518&lt;$I$518,$BI$518*$I$518,IF(AND($BL$518=1),$BI$518,IF(AND($BL$518=0),0,$BI$518*$BL$518)))</f>
        <v>#VALUE!</v>
      </c>
      <c r="BK518" s="417" t="e">
        <f t="shared" si="121"/>
        <v>#VALUE!</v>
      </c>
      <c r="BL518" s="744">
        <f t="shared" si="122"/>
        <v>-0.16666666666666666</v>
      </c>
      <c r="BM518" s="743">
        <f t="shared" si="140"/>
        <v>0</v>
      </c>
      <c r="BN518" s="742" t="e">
        <f>IF($BP$518&lt;$I$518,$BM$518*$I$518,IF(AND($BP$518=1),$BM$518,IF(AND($BP$518=0),0,$BM$518*$BP$518)))</f>
        <v>#VALUE!</v>
      </c>
      <c r="BO518" s="417" t="e">
        <f t="shared" si="123"/>
        <v>#VALUE!</v>
      </c>
      <c r="BP518" s="744">
        <f t="shared" si="124"/>
        <v>-0.14285714285714285</v>
      </c>
      <c r="BQ518" s="743">
        <f t="shared" si="141"/>
        <v>0</v>
      </c>
      <c r="BR518" s="742" t="e">
        <f>IF($BT$518&lt;$I$518,$BQ$518*$I$518,IF(AND($BT$518=1),$BQ$518,IF(AND($BT$518=0),0,$BQ$518*$BT$518)))</f>
        <v>#VALUE!</v>
      </c>
      <c r="BS518" s="417" t="e">
        <f t="shared" si="125"/>
        <v>#VALUE!</v>
      </c>
      <c r="BT518" s="744">
        <f t="shared" si="126"/>
        <v>-0.125</v>
      </c>
      <c r="BU518" s="743">
        <f t="shared" si="142"/>
        <v>0</v>
      </c>
      <c r="BV518" s="742" t="e">
        <f>IF($BX$518&lt;$I$518,$BU$518*$I$518,IF(AND($BX$518=1),$BU$518,IF(AND($BX$518=0),0,$BU$518*$BX$518)))</f>
        <v>#VALUE!</v>
      </c>
      <c r="BW518" s="748" t="e">
        <f t="shared" si="127"/>
        <v>#VALUE!</v>
      </c>
      <c r="BX518" s="745">
        <f t="shared" si="128"/>
        <v>-0.1111111111111111</v>
      </c>
      <c r="BY518" s="746">
        <f t="shared" si="143"/>
        <v>0</v>
      </c>
    </row>
    <row r="519" spans="1:77" s="121" customFormat="1" outlineLevel="1">
      <c r="B519" s="1801"/>
      <c r="C519" s="1834"/>
      <c r="D519" s="1792" t="s">
        <v>290</v>
      </c>
      <c r="E519" s="1793"/>
      <c r="F519" s="1793"/>
      <c r="G519" s="1794"/>
      <c r="H519" s="828"/>
      <c r="I519" s="1211" t="e">
        <f t="shared" si="129"/>
        <v>#VALUE!</v>
      </c>
      <c r="J519" s="733" t="s">
        <v>365</v>
      </c>
      <c r="K519" s="733" t="s">
        <v>365</v>
      </c>
      <c r="L519" s="1333" t="str">
        <f t="shared" si="130"/>
        <v>Non renseigné</v>
      </c>
      <c r="M519" s="733" t="e">
        <f t="shared" si="131"/>
        <v>#N/A</v>
      </c>
      <c r="N519" s="736"/>
      <c r="O519" s="733" t="e">
        <f t="shared" si="132"/>
        <v>#N/A</v>
      </c>
      <c r="P519" s="736"/>
      <c r="Q519" s="393"/>
      <c r="R519" s="945" t="str">
        <f t="shared" si="133"/>
        <v/>
      </c>
      <c r="S519" s="1052" t="e">
        <f t="shared" si="134"/>
        <v>#VALUE!</v>
      </c>
      <c r="T519" s="1052" t="e">
        <f t="shared" si="107"/>
        <v>#VALUE!</v>
      </c>
      <c r="U519" s="1052" t="e">
        <f t="shared" si="107"/>
        <v>#VALUE!</v>
      </c>
      <c r="V519" s="1052" t="e">
        <f t="shared" si="107"/>
        <v>#VALUE!</v>
      </c>
      <c r="W519" s="1052" t="e">
        <f t="shared" si="107"/>
        <v>#VALUE!</v>
      </c>
      <c r="X519" s="1052" t="e">
        <f t="shared" si="107"/>
        <v>#VALUE!</v>
      </c>
      <c r="Y519" s="1052" t="e">
        <f t="shared" si="107"/>
        <v>#VALUE!</v>
      </c>
      <c r="Z519" s="1052" t="e">
        <f t="shared" si="107"/>
        <v>#VALUE!</v>
      </c>
      <c r="AA519" s="1052" t="e">
        <f t="shared" si="107"/>
        <v>#VALUE!</v>
      </c>
      <c r="AB519" s="670" t="e">
        <f t="shared" si="107"/>
        <v>#VALUE!</v>
      </c>
      <c r="AL519" s="742" t="e">
        <f>IF($AO$519&lt;$I$519,$H$519*($M$519/12)*$I$519,$H$519*$AO$519)</f>
        <v>#VALUE!</v>
      </c>
      <c r="AM519" s="417" t="str">
        <f t="shared" si="108"/>
        <v>Non renseigné</v>
      </c>
      <c r="AN519" s="409">
        <f t="shared" si="109"/>
        <v>0</v>
      </c>
      <c r="AO519" s="744" t="str">
        <f t="shared" si="110"/>
        <v/>
      </c>
      <c r="AP519" s="742" t="e">
        <f>IF($AR$519&lt;$I$519,$AN$519*$I$519,IF(AND($AR$519=1),$AN$519,IF(AND($AN$519=0),0,$AN$519*$AR$519)))</f>
        <v>#VALUE!</v>
      </c>
      <c r="AQ519" s="408" t="e">
        <f t="shared" si="111"/>
        <v>#VALUE!</v>
      </c>
      <c r="AR519" s="744">
        <f t="shared" si="112"/>
        <v>-1</v>
      </c>
      <c r="AS519" s="743">
        <f t="shared" si="135"/>
        <v>0</v>
      </c>
      <c r="AT519" s="742" t="e">
        <f>IF($AV$519&lt;$I$519,$AS$519*$I$519,IF(AND($AV$519=1),$AS$519,IF(AND($AS$519=0),0,$AS$519*$AV$519)))</f>
        <v>#VALUE!</v>
      </c>
      <c r="AU519" s="417" t="e">
        <f t="shared" si="113"/>
        <v>#VALUE!</v>
      </c>
      <c r="AV519" s="744">
        <f t="shared" si="114"/>
        <v>-0.5</v>
      </c>
      <c r="AW519" s="743">
        <f t="shared" si="136"/>
        <v>0</v>
      </c>
      <c r="AX519" s="742" t="e">
        <f>IF($AZ$519&lt;$I$519,$AW$519*$I$519,IF(AND($AZ$519=1),$AW$519,IF(AND($AW$519=0),0,$AW$519*$AZ$519)))</f>
        <v>#VALUE!</v>
      </c>
      <c r="AY519" s="408" t="e">
        <f t="shared" si="115"/>
        <v>#VALUE!</v>
      </c>
      <c r="AZ519" s="744">
        <f t="shared" si="116"/>
        <v>-0.33333333333333331</v>
      </c>
      <c r="BA519" s="743">
        <f t="shared" si="137"/>
        <v>0</v>
      </c>
      <c r="BB519" s="742" t="e">
        <f>IF($BD$519&lt;$I$519,$BA$519*$I$519,IF(AND($BD$519=1),$BA$519,IF(AND($BA$519=0),0,$BA$519*$AZ$519)))</f>
        <v>#VALUE!</v>
      </c>
      <c r="BC519" s="408" t="e">
        <f t="shared" si="117"/>
        <v>#VALUE!</v>
      </c>
      <c r="BD519" s="744">
        <f t="shared" si="118"/>
        <v>-0.25</v>
      </c>
      <c r="BE519" s="743">
        <f t="shared" si="138"/>
        <v>0</v>
      </c>
      <c r="BF519" s="742" t="e">
        <f>IF($BH$519&lt;$I$519,$BE$519*$I$519,IF(AND($BH$519=1),$BE$519,IF(AND($BE$519=0),0,$BE$519*$BH$519)))</f>
        <v>#VALUE!</v>
      </c>
      <c r="BG519" s="408" t="e">
        <f t="shared" si="119"/>
        <v>#VALUE!</v>
      </c>
      <c r="BH519" s="744">
        <f t="shared" si="120"/>
        <v>-0.2</v>
      </c>
      <c r="BI519" s="743">
        <f t="shared" si="139"/>
        <v>0</v>
      </c>
      <c r="BJ519" s="742" t="e">
        <f>IF($BL$519&lt;$I$519,$BI$519*$I$519,IF(AND($BL$519=1),$BI$519,IF(AND($BL$519=0),0,$BI$519*$BL$519)))</f>
        <v>#VALUE!</v>
      </c>
      <c r="BK519" s="417" t="e">
        <f t="shared" si="121"/>
        <v>#VALUE!</v>
      </c>
      <c r="BL519" s="744">
        <f t="shared" si="122"/>
        <v>-0.16666666666666666</v>
      </c>
      <c r="BM519" s="743">
        <f t="shared" si="140"/>
        <v>0</v>
      </c>
      <c r="BN519" s="742" t="e">
        <f>IF($BP$519&lt;$I$519,$BM$519*$I$519,IF(AND($BP$519=1),$BM$519,IF(AND($BP$519=0),0,$BM$519*$BP$519)))</f>
        <v>#VALUE!</v>
      </c>
      <c r="BO519" s="417" t="e">
        <f t="shared" si="123"/>
        <v>#VALUE!</v>
      </c>
      <c r="BP519" s="744">
        <f t="shared" si="124"/>
        <v>-0.14285714285714285</v>
      </c>
      <c r="BQ519" s="743">
        <f t="shared" si="141"/>
        <v>0</v>
      </c>
      <c r="BR519" s="742" t="e">
        <f>IF($BT$519&lt;$I$519,$BQ$519*$I$519,IF(AND($BT$519=1),$BQ$519,IF(AND($BT$519=0),0,$BQ$519*$BT$519)))</f>
        <v>#VALUE!</v>
      </c>
      <c r="BS519" s="417" t="e">
        <f t="shared" si="125"/>
        <v>#VALUE!</v>
      </c>
      <c r="BT519" s="744">
        <f t="shared" si="126"/>
        <v>-0.125</v>
      </c>
      <c r="BU519" s="743">
        <f t="shared" si="142"/>
        <v>0</v>
      </c>
      <c r="BV519" s="742" t="e">
        <f>IF($BX$519&lt;$I$519,$BU$519*$I$519,IF(AND($BX$519=1),$BU$519,IF(AND($BX$519=0),0,$BU$519*$BX$519)))</f>
        <v>#VALUE!</v>
      </c>
      <c r="BW519" s="748" t="e">
        <f t="shared" si="127"/>
        <v>#VALUE!</v>
      </c>
      <c r="BX519" s="745">
        <f t="shared" si="128"/>
        <v>-0.1111111111111111</v>
      </c>
      <c r="BY519" s="746">
        <f t="shared" si="143"/>
        <v>0</v>
      </c>
    </row>
    <row r="520" spans="1:77" s="121" customFormat="1" outlineLevel="1">
      <c r="B520" s="1801"/>
      <c r="C520" s="1834"/>
      <c r="D520" s="1792" t="s">
        <v>290</v>
      </c>
      <c r="E520" s="1793"/>
      <c r="F520" s="1793"/>
      <c r="G520" s="1794"/>
      <c r="H520" s="828"/>
      <c r="I520" s="1211" t="e">
        <f t="shared" si="129"/>
        <v>#VALUE!</v>
      </c>
      <c r="J520" s="733" t="s">
        <v>365</v>
      </c>
      <c r="K520" s="733" t="s">
        <v>365</v>
      </c>
      <c r="L520" s="1333" t="str">
        <f t="shared" si="130"/>
        <v>Non renseigné</v>
      </c>
      <c r="M520" s="733" t="e">
        <f t="shared" si="131"/>
        <v>#N/A</v>
      </c>
      <c r="N520" s="736"/>
      <c r="O520" s="733" t="e">
        <f t="shared" si="132"/>
        <v>#N/A</v>
      </c>
      <c r="P520" s="736"/>
      <c r="Q520" s="393"/>
      <c r="R520" s="945" t="str">
        <f t="shared" si="133"/>
        <v/>
      </c>
      <c r="S520" s="1052" t="e">
        <f t="shared" si="134"/>
        <v>#VALUE!</v>
      </c>
      <c r="T520" s="1052" t="e">
        <f t="shared" si="107"/>
        <v>#VALUE!</v>
      </c>
      <c r="U520" s="1052" t="e">
        <f t="shared" si="107"/>
        <v>#VALUE!</v>
      </c>
      <c r="V520" s="1052" t="e">
        <f t="shared" si="107"/>
        <v>#VALUE!</v>
      </c>
      <c r="W520" s="1052" t="e">
        <f t="shared" si="107"/>
        <v>#VALUE!</v>
      </c>
      <c r="X520" s="1052" t="e">
        <f t="shared" si="107"/>
        <v>#VALUE!</v>
      </c>
      <c r="Y520" s="1052" t="e">
        <f t="shared" si="107"/>
        <v>#VALUE!</v>
      </c>
      <c r="Z520" s="1052" t="e">
        <f t="shared" si="107"/>
        <v>#VALUE!</v>
      </c>
      <c r="AA520" s="1052" t="e">
        <f t="shared" si="107"/>
        <v>#VALUE!</v>
      </c>
      <c r="AB520" s="670" t="e">
        <f t="shared" si="107"/>
        <v>#VALUE!</v>
      </c>
      <c r="AL520" s="742" t="e">
        <f>IF($AO$520&lt;$I$520,$H$520*($M$520/12)*$I$520,$H$520*$AO$520)</f>
        <v>#VALUE!</v>
      </c>
      <c r="AM520" s="417" t="str">
        <f t="shared" si="108"/>
        <v>Non renseigné</v>
      </c>
      <c r="AN520" s="409">
        <f t="shared" si="109"/>
        <v>0</v>
      </c>
      <c r="AO520" s="744" t="str">
        <f t="shared" si="110"/>
        <v/>
      </c>
      <c r="AP520" s="742" t="e">
        <f>IF($AR$520&lt;$I$520,$AN$520*$I$520,IF(AND($AR$520=1),$AN$520,IF(AND($AN$520=0),0,$AN$520*$AR$520)))</f>
        <v>#VALUE!</v>
      </c>
      <c r="AQ520" s="408" t="e">
        <f t="shared" si="111"/>
        <v>#VALUE!</v>
      </c>
      <c r="AR520" s="744">
        <f t="shared" si="112"/>
        <v>-1</v>
      </c>
      <c r="AS520" s="743">
        <f t="shared" si="135"/>
        <v>0</v>
      </c>
      <c r="AT520" s="742" t="e">
        <f>IF($AV$520&lt;$I$520,$AS$520*$I$520,IF(AND($AV$520=1),$AS$520,IF(AND($AS$520=0),0,$AS$520*$AV$520)))</f>
        <v>#VALUE!</v>
      </c>
      <c r="AU520" s="417" t="e">
        <f t="shared" si="113"/>
        <v>#VALUE!</v>
      </c>
      <c r="AV520" s="744">
        <f t="shared" si="114"/>
        <v>-0.5</v>
      </c>
      <c r="AW520" s="743">
        <f t="shared" si="136"/>
        <v>0</v>
      </c>
      <c r="AX520" s="742" t="e">
        <f>IF($AZ$520&lt;$I$520,$AW$520*$I$520,IF(AND($AZ$520=1),$AW$520,IF(AND($AW$520=0),0,$AW$520*$AZ$520)))</f>
        <v>#VALUE!</v>
      </c>
      <c r="AY520" s="408" t="e">
        <f t="shared" si="115"/>
        <v>#VALUE!</v>
      </c>
      <c r="AZ520" s="744">
        <f t="shared" si="116"/>
        <v>-0.33333333333333331</v>
      </c>
      <c r="BA520" s="743">
        <f t="shared" si="137"/>
        <v>0</v>
      </c>
      <c r="BB520" s="742" t="e">
        <f>IF($BD$520&lt;$I$520,$BA$520*$I$520,IF(AND($BD$520=1),$BA$520,IF(AND($BA$520=0),0,$BA$520*$AZ$520)))</f>
        <v>#VALUE!</v>
      </c>
      <c r="BC520" s="408" t="e">
        <f t="shared" si="117"/>
        <v>#VALUE!</v>
      </c>
      <c r="BD520" s="744">
        <f t="shared" si="118"/>
        <v>-0.25</v>
      </c>
      <c r="BE520" s="743">
        <f t="shared" si="138"/>
        <v>0</v>
      </c>
      <c r="BF520" s="742" t="e">
        <f>IF($BH$520&lt;$I$520,$BE$520*$I$520,IF(AND($BH$520=1),$BE$520,IF(AND($BE$520=0),0,$BE$520*$BH$520)))</f>
        <v>#VALUE!</v>
      </c>
      <c r="BG520" s="408" t="e">
        <f t="shared" si="119"/>
        <v>#VALUE!</v>
      </c>
      <c r="BH520" s="744">
        <f t="shared" si="120"/>
        <v>-0.2</v>
      </c>
      <c r="BI520" s="743">
        <f t="shared" si="139"/>
        <v>0</v>
      </c>
      <c r="BJ520" s="742" t="e">
        <f>IF($BL$520&lt;$I$520,$BI$520*$I$520,IF(AND($BL$520=1),$BI$520,IF(AND($BL$520=0),0,$BI$520*$BL$520)))</f>
        <v>#VALUE!</v>
      </c>
      <c r="BK520" s="417" t="e">
        <f t="shared" si="121"/>
        <v>#VALUE!</v>
      </c>
      <c r="BL520" s="744">
        <f t="shared" si="122"/>
        <v>-0.16666666666666666</v>
      </c>
      <c r="BM520" s="743">
        <f t="shared" si="140"/>
        <v>0</v>
      </c>
      <c r="BN520" s="742" t="e">
        <f>IF($BP$520&lt;$I$520,$BM$520*$I$520,IF(AND($BP$520=1),$BM$520,IF(AND($BP$520=0),0,$BM$520*$BP$520)))</f>
        <v>#VALUE!</v>
      </c>
      <c r="BO520" s="417" t="e">
        <f t="shared" si="123"/>
        <v>#VALUE!</v>
      </c>
      <c r="BP520" s="744">
        <f t="shared" si="124"/>
        <v>-0.14285714285714285</v>
      </c>
      <c r="BQ520" s="743">
        <f t="shared" si="141"/>
        <v>0</v>
      </c>
      <c r="BR520" s="742" t="e">
        <f>IF($BT$520&lt;$I$520,$BQ$520*$I$520,IF(AND($BT$520=1),$BQ$520,IF(AND($BT$520=0),0,$BQ$520*$BT$520)))</f>
        <v>#VALUE!</v>
      </c>
      <c r="BS520" s="417" t="e">
        <f t="shared" si="125"/>
        <v>#VALUE!</v>
      </c>
      <c r="BT520" s="744">
        <f t="shared" si="126"/>
        <v>-0.125</v>
      </c>
      <c r="BU520" s="743">
        <f t="shared" si="142"/>
        <v>0</v>
      </c>
      <c r="BV520" s="742" t="e">
        <f>IF($BX$520&lt;$I$520,$BU$520*$I$520,IF(AND($BX$520=1),$BU$520,IF(AND($BX$520=0),0,$BU$520*$BX$520)))</f>
        <v>#VALUE!</v>
      </c>
      <c r="BW520" s="748" t="e">
        <f t="shared" si="127"/>
        <v>#VALUE!</v>
      </c>
      <c r="BX520" s="745">
        <f t="shared" si="128"/>
        <v>-0.1111111111111111</v>
      </c>
      <c r="BY520" s="746">
        <f t="shared" si="143"/>
        <v>0</v>
      </c>
    </row>
    <row r="521" spans="1:77" s="121" customFormat="1" outlineLevel="1">
      <c r="B521" s="1801"/>
      <c r="C521" s="1834"/>
      <c r="D521" s="1792" t="s">
        <v>290</v>
      </c>
      <c r="E521" s="1793"/>
      <c r="F521" s="1793"/>
      <c r="G521" s="1794"/>
      <c r="H521" s="828"/>
      <c r="I521" s="1211" t="e">
        <f t="shared" si="129"/>
        <v>#VALUE!</v>
      </c>
      <c r="J521" s="733" t="s">
        <v>365</v>
      </c>
      <c r="K521" s="733" t="s">
        <v>365</v>
      </c>
      <c r="L521" s="1333" t="str">
        <f t="shared" si="130"/>
        <v>Non renseigné</v>
      </c>
      <c r="M521" s="733" t="e">
        <f t="shared" si="131"/>
        <v>#N/A</v>
      </c>
      <c r="N521" s="736"/>
      <c r="O521" s="733" t="e">
        <f t="shared" si="132"/>
        <v>#N/A</v>
      </c>
      <c r="P521" s="736"/>
      <c r="Q521" s="393"/>
      <c r="R521" s="945" t="str">
        <f t="shared" si="133"/>
        <v/>
      </c>
      <c r="S521" s="1052" t="e">
        <f t="shared" si="134"/>
        <v>#VALUE!</v>
      </c>
      <c r="T521" s="1052" t="e">
        <f t="shared" si="107"/>
        <v>#VALUE!</v>
      </c>
      <c r="U521" s="1052" t="e">
        <f t="shared" si="107"/>
        <v>#VALUE!</v>
      </c>
      <c r="V521" s="1052" t="e">
        <f t="shared" si="107"/>
        <v>#VALUE!</v>
      </c>
      <c r="W521" s="1052" t="e">
        <f t="shared" si="107"/>
        <v>#VALUE!</v>
      </c>
      <c r="X521" s="1052" t="e">
        <f t="shared" si="107"/>
        <v>#VALUE!</v>
      </c>
      <c r="Y521" s="1052" t="e">
        <f t="shared" si="107"/>
        <v>#VALUE!</v>
      </c>
      <c r="Z521" s="1052" t="e">
        <f t="shared" si="107"/>
        <v>#VALUE!</v>
      </c>
      <c r="AA521" s="1052" t="e">
        <f t="shared" si="107"/>
        <v>#VALUE!</v>
      </c>
      <c r="AB521" s="670" t="e">
        <f t="shared" si="107"/>
        <v>#VALUE!</v>
      </c>
      <c r="AL521" s="742" t="e">
        <f>IF($AO$521&lt;$I$521,$H$521*($M$521/12)*$I$521,$H$521*$AO$521)</f>
        <v>#VALUE!</v>
      </c>
      <c r="AM521" s="417" t="str">
        <f t="shared" si="108"/>
        <v>Non renseigné</v>
      </c>
      <c r="AN521" s="409">
        <f t="shared" si="109"/>
        <v>0</v>
      </c>
      <c r="AO521" s="744" t="str">
        <f t="shared" si="110"/>
        <v/>
      </c>
      <c r="AP521" s="742" t="e">
        <f>IF($AR$521&lt;$I$521,$AN$521*$I$521,IF(AND($AR$521=1),$AN$521,IF(AND($AN$521=0),0,$AN$521*$AR$521)))</f>
        <v>#VALUE!</v>
      </c>
      <c r="AQ521" s="408" t="e">
        <f t="shared" si="111"/>
        <v>#VALUE!</v>
      </c>
      <c r="AR521" s="744">
        <f t="shared" si="112"/>
        <v>-1</v>
      </c>
      <c r="AS521" s="743">
        <f t="shared" si="135"/>
        <v>0</v>
      </c>
      <c r="AT521" s="742" t="e">
        <f>IF($AV$521&lt;$I$521,$AS$521*$I$521,IF(AND($AV$521=1),$AS$521,IF(AND($AS$521=0),0,$AS$521*$AV$521)))</f>
        <v>#VALUE!</v>
      </c>
      <c r="AU521" s="417" t="e">
        <f t="shared" si="113"/>
        <v>#VALUE!</v>
      </c>
      <c r="AV521" s="744">
        <f t="shared" si="114"/>
        <v>-0.5</v>
      </c>
      <c r="AW521" s="743">
        <f t="shared" si="136"/>
        <v>0</v>
      </c>
      <c r="AX521" s="742" t="e">
        <f>IF($AZ$521&lt;$I$521,$AW$521*$I$521,IF(AND($AZ$521=1),$AW$521,IF(AND($AW$521=0),0,$AW$521*$AZ$521)))</f>
        <v>#VALUE!</v>
      </c>
      <c r="AY521" s="408" t="e">
        <f t="shared" si="115"/>
        <v>#VALUE!</v>
      </c>
      <c r="AZ521" s="744">
        <f t="shared" si="116"/>
        <v>-0.33333333333333331</v>
      </c>
      <c r="BA521" s="743">
        <f t="shared" si="137"/>
        <v>0</v>
      </c>
      <c r="BB521" s="742" t="e">
        <f>IF($BD$521&lt;$I$521,$BA$521*$I$521,IF(AND($BD$521=1),$BA$521,IF(AND($BA$521=0),0,$BA$521*$AZ$521)))</f>
        <v>#VALUE!</v>
      </c>
      <c r="BC521" s="408" t="e">
        <f t="shared" si="117"/>
        <v>#VALUE!</v>
      </c>
      <c r="BD521" s="744">
        <f t="shared" si="118"/>
        <v>-0.25</v>
      </c>
      <c r="BE521" s="743">
        <f t="shared" si="138"/>
        <v>0</v>
      </c>
      <c r="BF521" s="742" t="e">
        <f>IF($BH$521&lt;$I$521,$BE$521*$I$521,IF(AND($BH$521=1),$BE$521,IF(AND($BE$521=0),0,$BE$521*$BH$521)))</f>
        <v>#VALUE!</v>
      </c>
      <c r="BG521" s="408" t="e">
        <f t="shared" si="119"/>
        <v>#VALUE!</v>
      </c>
      <c r="BH521" s="744">
        <f t="shared" si="120"/>
        <v>-0.2</v>
      </c>
      <c r="BI521" s="743">
        <f t="shared" si="139"/>
        <v>0</v>
      </c>
      <c r="BJ521" s="742" t="e">
        <f>IF($BL$521&lt;$I$521,$BI$521*$I$521,IF(AND($BL$521=1),$BI$521,IF(AND($BL$521=0),0,$BI$521*$BL$521)))</f>
        <v>#VALUE!</v>
      </c>
      <c r="BK521" s="417" t="e">
        <f t="shared" si="121"/>
        <v>#VALUE!</v>
      </c>
      <c r="BL521" s="744">
        <f t="shared" si="122"/>
        <v>-0.16666666666666666</v>
      </c>
      <c r="BM521" s="743">
        <f t="shared" si="140"/>
        <v>0</v>
      </c>
      <c r="BN521" s="742" t="e">
        <f>IF($BP$521&lt;$I$521,$BM$521*$I$521,IF(AND($BP$521=1),$BM$521,IF(AND($BP$521=0),0,$BM$521*$BP$521)))</f>
        <v>#VALUE!</v>
      </c>
      <c r="BO521" s="417" t="e">
        <f t="shared" si="123"/>
        <v>#VALUE!</v>
      </c>
      <c r="BP521" s="744">
        <f t="shared" si="124"/>
        <v>-0.14285714285714285</v>
      </c>
      <c r="BQ521" s="743">
        <f t="shared" si="141"/>
        <v>0</v>
      </c>
      <c r="BR521" s="742" t="e">
        <f>IF($BT$521&lt;$I$521,$BQ$521*$I$521,IF(AND($BT$521=1),$BQ$521,IF(AND($BT$521=0),0,$BQ$521*$BT$521)))</f>
        <v>#VALUE!</v>
      </c>
      <c r="BS521" s="417" t="e">
        <f t="shared" si="125"/>
        <v>#VALUE!</v>
      </c>
      <c r="BT521" s="744">
        <f t="shared" si="126"/>
        <v>-0.125</v>
      </c>
      <c r="BU521" s="743">
        <f t="shared" si="142"/>
        <v>0</v>
      </c>
      <c r="BV521" s="742" t="e">
        <f>IF($BX$521&lt;$I$521,$BU$521*$I$521,IF(AND($BX$521=1),$BU$521,IF(AND($BX$521=0),0,$BU$521*$BX$521)))</f>
        <v>#VALUE!</v>
      </c>
      <c r="BW521" s="748" t="e">
        <f t="shared" si="127"/>
        <v>#VALUE!</v>
      </c>
      <c r="BX521" s="745">
        <f t="shared" si="128"/>
        <v>-0.1111111111111111</v>
      </c>
      <c r="BY521" s="746">
        <f t="shared" si="143"/>
        <v>0</v>
      </c>
    </row>
    <row r="522" spans="1:77" s="121" customFormat="1" outlineLevel="1">
      <c r="B522" s="1832"/>
      <c r="C522" s="1833"/>
      <c r="D522" s="1789" t="s">
        <v>290</v>
      </c>
      <c r="E522" s="1790"/>
      <c r="F522" s="1790"/>
      <c r="G522" s="1791"/>
      <c r="H522" s="829"/>
      <c r="I522" s="1212" t="e">
        <f t="shared" si="129"/>
        <v>#VALUE!</v>
      </c>
      <c r="J522" s="394" t="s">
        <v>365</v>
      </c>
      <c r="K522" s="394" t="s">
        <v>365</v>
      </c>
      <c r="L522" s="1334" t="str">
        <f t="shared" si="130"/>
        <v>Non renseigné</v>
      </c>
      <c r="M522" s="394" t="e">
        <f t="shared" si="131"/>
        <v>#N/A</v>
      </c>
      <c r="N522" s="394"/>
      <c r="O522" s="394" t="e">
        <f t="shared" si="132"/>
        <v>#N/A</v>
      </c>
      <c r="P522" s="394"/>
      <c r="Q522" s="395"/>
      <c r="R522" s="946" t="str">
        <f t="shared" si="133"/>
        <v/>
      </c>
      <c r="S522" s="1052" t="e">
        <f t="shared" si="134"/>
        <v>#VALUE!</v>
      </c>
      <c r="T522" s="1052" t="e">
        <f t="shared" si="107"/>
        <v>#VALUE!</v>
      </c>
      <c r="U522" s="1052" t="e">
        <f t="shared" si="107"/>
        <v>#VALUE!</v>
      </c>
      <c r="V522" s="1052" t="e">
        <f t="shared" si="107"/>
        <v>#VALUE!</v>
      </c>
      <c r="W522" s="1052" t="e">
        <f t="shared" si="107"/>
        <v>#VALUE!</v>
      </c>
      <c r="X522" s="1052" t="e">
        <f t="shared" si="107"/>
        <v>#VALUE!</v>
      </c>
      <c r="Y522" s="1052" t="e">
        <f t="shared" si="107"/>
        <v>#VALUE!</v>
      </c>
      <c r="Z522" s="1052" t="e">
        <f t="shared" si="107"/>
        <v>#VALUE!</v>
      </c>
      <c r="AA522" s="1052" t="e">
        <f t="shared" si="107"/>
        <v>#VALUE!</v>
      </c>
      <c r="AB522" s="670" t="e">
        <f t="shared" si="107"/>
        <v>#VALUE!</v>
      </c>
      <c r="AL522" s="416" t="e">
        <f>IF($AO$522&lt;$I$522,$H$522*($M$522/12)*$I$522,$H$522*$AO$522)</f>
        <v>#VALUE!</v>
      </c>
      <c r="AM522" s="417" t="str">
        <f t="shared" si="108"/>
        <v>Non renseigné</v>
      </c>
      <c r="AN522" s="747">
        <f t="shared" si="109"/>
        <v>0</v>
      </c>
      <c r="AO522" s="418" t="str">
        <f t="shared" si="110"/>
        <v/>
      </c>
      <c r="AP522" s="416" t="e">
        <f>IF($AR$522&lt;$I$522,$AN$522*$I$522,IF(AND($AR$522=1),$AN$522,IF(AND($AN$522=0),0,$AN$522*$AR$522)))</f>
        <v>#VALUE!</v>
      </c>
      <c r="AQ522" s="417" t="e">
        <f t="shared" si="111"/>
        <v>#VALUE!</v>
      </c>
      <c r="AR522" s="418">
        <f t="shared" si="112"/>
        <v>-1</v>
      </c>
      <c r="AS522" s="747">
        <f t="shared" si="135"/>
        <v>0</v>
      </c>
      <c r="AT522" s="416" t="e">
        <f>IF($AV$522&lt;$I$522,$AS$522*$I$522,IF(AND($AV$522=1),$AS$522,IF(AND($AS$522=0),0,$AS$522*$AV$522)))</f>
        <v>#VALUE!</v>
      </c>
      <c r="AU522" s="417" t="e">
        <f t="shared" si="113"/>
        <v>#VALUE!</v>
      </c>
      <c r="AV522" s="418">
        <f t="shared" si="114"/>
        <v>-0.5</v>
      </c>
      <c r="AW522" s="747">
        <f t="shared" si="136"/>
        <v>0</v>
      </c>
      <c r="AX522" s="416" t="e">
        <f>IF($AZ$522&lt;$I$522,$AW$522*$I$522,IF(AND($AZ$522=1),$AW$522,IF(AND($AW$522=0),0,$AW$522*$AZ$522)))</f>
        <v>#VALUE!</v>
      </c>
      <c r="AY522" s="417" t="e">
        <f t="shared" si="115"/>
        <v>#VALUE!</v>
      </c>
      <c r="AZ522" s="418">
        <f t="shared" si="116"/>
        <v>-0.33333333333333331</v>
      </c>
      <c r="BA522" s="747">
        <f t="shared" si="137"/>
        <v>0</v>
      </c>
      <c r="BB522" s="416" t="e">
        <f>IF($BD$522&lt;$I$522,$BA$522*$I$522,IF(AND($BD$522=1),$BA$522,IF(AND($BA$522=0),0,$BA$522*$AZ$522)))</f>
        <v>#VALUE!</v>
      </c>
      <c r="BC522" s="417" t="e">
        <f t="shared" si="117"/>
        <v>#VALUE!</v>
      </c>
      <c r="BD522" s="418">
        <f t="shared" si="118"/>
        <v>-0.25</v>
      </c>
      <c r="BE522" s="747">
        <f t="shared" si="138"/>
        <v>0</v>
      </c>
      <c r="BF522" s="416" t="e">
        <f>IF($BH$522&lt;$I$522,$BE$522*$I$522,IF(AND($BH$522=1),$BE$522,IF(AND($BE$522=0),0,$BE$522*$BH$522)))</f>
        <v>#VALUE!</v>
      </c>
      <c r="BG522" s="417" t="e">
        <f t="shared" si="119"/>
        <v>#VALUE!</v>
      </c>
      <c r="BH522" s="418">
        <f t="shared" si="120"/>
        <v>-0.2</v>
      </c>
      <c r="BI522" s="747">
        <f t="shared" si="139"/>
        <v>0</v>
      </c>
      <c r="BJ522" s="416" t="e">
        <f>IF($BL$522&lt;$I$522,$BI$522*$I$522,IF(AND($BL$522=1),$BI$522,IF(AND($BL$522=0),0,$BI$522*$BL$522)))</f>
        <v>#VALUE!</v>
      </c>
      <c r="BK522" s="417" t="e">
        <f t="shared" si="121"/>
        <v>#VALUE!</v>
      </c>
      <c r="BL522" s="418">
        <f t="shared" si="122"/>
        <v>-0.16666666666666666</v>
      </c>
      <c r="BM522" s="747">
        <f t="shared" si="140"/>
        <v>0</v>
      </c>
      <c r="BN522" s="416" t="e">
        <f>IF($BP$522&lt;$I$522,$BM$522*$I$522,IF(AND($BP$522=1),$BM$522,IF(AND($BP$522=0),0,$BM$522*$BP$522)))</f>
        <v>#VALUE!</v>
      </c>
      <c r="BO522" s="417" t="e">
        <f t="shared" si="123"/>
        <v>#VALUE!</v>
      </c>
      <c r="BP522" s="418">
        <f t="shared" si="124"/>
        <v>-0.14285714285714285</v>
      </c>
      <c r="BQ522" s="747">
        <f t="shared" si="141"/>
        <v>0</v>
      </c>
      <c r="BR522" s="416" t="e">
        <f>IF($BT$522&lt;$I$522,$BQ$522*$I$522,IF(AND($BT$522=1),$BQ$522,IF(AND($BT$522=0),0,$BQ$522*$BT$522)))</f>
        <v>#VALUE!</v>
      </c>
      <c r="BS522" s="417" t="e">
        <f t="shared" si="125"/>
        <v>#VALUE!</v>
      </c>
      <c r="BT522" s="418">
        <f t="shared" si="126"/>
        <v>-0.125</v>
      </c>
      <c r="BU522" s="747">
        <f t="shared" si="142"/>
        <v>0</v>
      </c>
      <c r="BV522" s="416" t="e">
        <f>IF($BX$522&lt;$I$522,$BU$522*$I$522,IF(AND($BX$522=1),$BU$522,IF(AND($BX$522=0),0,$BU$522*$BX$522)))</f>
        <v>#VALUE!</v>
      </c>
      <c r="BW522" s="748" t="e">
        <f t="shared" si="127"/>
        <v>#VALUE!</v>
      </c>
      <c r="BX522" s="419">
        <f t="shared" si="128"/>
        <v>-0.1111111111111111</v>
      </c>
      <c r="BY522" s="749">
        <f t="shared" si="143"/>
        <v>0</v>
      </c>
    </row>
    <row r="523" spans="1:77">
      <c r="A523" s="1061" t="s">
        <v>816</v>
      </c>
      <c r="B523" s="423"/>
      <c r="C523" s="423"/>
      <c r="D523" s="1753"/>
      <c r="E523" s="1753"/>
      <c r="F523" s="1753"/>
      <c r="G523" s="1753"/>
      <c r="H523" s="424"/>
      <c r="I523" s="425"/>
      <c r="J523" s="1221"/>
      <c r="K523" s="1221"/>
      <c r="L523" s="1221"/>
      <c r="M523" s="1221"/>
      <c r="N523" s="1221"/>
      <c r="O523" s="1221"/>
      <c r="P523" s="1221"/>
      <c r="Q523" s="426"/>
      <c r="R523" s="427"/>
      <c r="S523" s="420"/>
      <c r="T523" s="420"/>
      <c r="U523" s="420"/>
      <c r="V523" s="420"/>
      <c r="W523" s="420"/>
      <c r="X523" s="420"/>
      <c r="Y523" s="420"/>
      <c r="Z523" s="420"/>
      <c r="AA523" s="420"/>
      <c r="AB523" s="420"/>
      <c r="AC523" s="421"/>
    </row>
    <row r="524" spans="1:77" s="121" customFormat="1" hidden="1">
      <c r="B524" s="423"/>
      <c r="C524" s="423"/>
      <c r="D524" s="1753"/>
      <c r="E524" s="1753"/>
      <c r="F524" s="1753"/>
      <c r="G524" s="1753"/>
      <c r="H524" s="424"/>
      <c r="I524" s="428"/>
      <c r="J524" s="1039"/>
      <c r="K524" s="1759" t="s">
        <v>258</v>
      </c>
      <c r="L524" s="1759"/>
      <c r="M524" s="1759"/>
      <c r="N524" s="1759"/>
      <c r="O524" s="1759"/>
      <c r="P524" s="1759"/>
      <c r="Q524" s="1759"/>
      <c r="R524" s="1040"/>
      <c r="S524" s="1041">
        <f>+S537</f>
        <v>2019</v>
      </c>
      <c r="T524" s="1041">
        <f>S524+1</f>
        <v>2020</v>
      </c>
      <c r="U524" s="1041">
        <f>S524+2</f>
        <v>2021</v>
      </c>
      <c r="V524" s="1041">
        <f>S524+3</f>
        <v>2022</v>
      </c>
      <c r="W524" s="1041">
        <f>S524+4</f>
        <v>2023</v>
      </c>
      <c r="X524" s="1041">
        <f>S524+5</f>
        <v>2024</v>
      </c>
      <c r="Y524" s="1041">
        <f>S524+6</f>
        <v>2025</v>
      </c>
      <c r="Z524" s="1041">
        <f>S524+7</f>
        <v>2026</v>
      </c>
      <c r="AA524" s="1041">
        <f>S524+8</f>
        <v>2027</v>
      </c>
      <c r="AB524" s="1041">
        <f>S524+9</f>
        <v>2028</v>
      </c>
      <c r="AC524" s="403"/>
    </row>
    <row r="525" spans="1:77" s="121" customFormat="1" hidden="1">
      <c r="B525" s="423"/>
      <c r="C525" s="423"/>
      <c r="D525" s="1753"/>
      <c r="E525" s="1753"/>
      <c r="F525" s="1753"/>
      <c r="G525" s="1753"/>
      <c r="H525" s="424"/>
      <c r="I525" s="428"/>
      <c r="J525" s="1763" t="s">
        <v>567</v>
      </c>
      <c r="K525" s="1762" t="s">
        <v>860</v>
      </c>
      <c r="L525" s="1762"/>
      <c r="M525" s="1762"/>
      <c r="N525" s="1762"/>
      <c r="O525" s="1762"/>
      <c r="P525" s="1762"/>
      <c r="Q525" s="1762"/>
      <c r="R525" s="1762"/>
      <c r="S525" s="1054">
        <f>SUMIFS(S$17:S$500,$D$17:$D$500,$K$525)</f>
        <v>0</v>
      </c>
      <c r="T525" s="1054">
        <f t="shared" ref="T525:AB525" si="144">SUMIFS(T$17:T$500,$D$17:$D$500,$K$525)</f>
        <v>0</v>
      </c>
      <c r="U525" s="1054">
        <f t="shared" si="144"/>
        <v>0</v>
      </c>
      <c r="V525" s="1054">
        <f t="shared" si="144"/>
        <v>0</v>
      </c>
      <c r="W525" s="1054">
        <f t="shared" si="144"/>
        <v>0</v>
      </c>
      <c r="X525" s="1054">
        <f t="shared" si="144"/>
        <v>0</v>
      </c>
      <c r="Y525" s="1054">
        <f t="shared" si="144"/>
        <v>0</v>
      </c>
      <c r="Z525" s="1054">
        <f t="shared" si="144"/>
        <v>0</v>
      </c>
      <c r="AA525" s="1054">
        <f t="shared" si="144"/>
        <v>0</v>
      </c>
      <c r="AB525" s="1054">
        <f t="shared" si="144"/>
        <v>0</v>
      </c>
      <c r="AC525" s="403"/>
    </row>
    <row r="526" spans="1:77" s="121" customFormat="1" hidden="1">
      <c r="B526" s="423"/>
      <c r="C526" s="423"/>
      <c r="D526" s="1221"/>
      <c r="E526" s="1221"/>
      <c r="F526" s="1221"/>
      <c r="G526" s="1221"/>
      <c r="H526" s="424"/>
      <c r="I526" s="428"/>
      <c r="J526" s="1763"/>
      <c r="K526" s="1775" t="s">
        <v>861</v>
      </c>
      <c r="L526" s="1776"/>
      <c r="M526" s="1776"/>
      <c r="N526" s="1776"/>
      <c r="O526" s="1776"/>
      <c r="P526" s="1776"/>
      <c r="Q526" s="1776"/>
      <c r="R526" s="1777"/>
      <c r="S526" s="1054">
        <f>SUMIFS(S$17:S$500,$D$17:$D$500,$K$526)</f>
        <v>0</v>
      </c>
      <c r="T526" s="1054">
        <f t="shared" ref="T526:AB526" si="145">SUMIFS(T$17:T$500,$D$17:$D$500,$K$526)</f>
        <v>0</v>
      </c>
      <c r="U526" s="1054">
        <f t="shared" si="145"/>
        <v>0</v>
      </c>
      <c r="V526" s="1054">
        <f t="shared" si="145"/>
        <v>0</v>
      </c>
      <c r="W526" s="1054">
        <f t="shared" si="145"/>
        <v>0</v>
      </c>
      <c r="X526" s="1054">
        <f t="shared" si="145"/>
        <v>0</v>
      </c>
      <c r="Y526" s="1054">
        <f t="shared" si="145"/>
        <v>0</v>
      </c>
      <c r="Z526" s="1054">
        <f t="shared" si="145"/>
        <v>0</v>
      </c>
      <c r="AA526" s="1054">
        <f t="shared" si="145"/>
        <v>0</v>
      </c>
      <c r="AB526" s="1054">
        <f t="shared" si="145"/>
        <v>0</v>
      </c>
      <c r="AC526" s="403"/>
    </row>
    <row r="527" spans="1:77" s="121" customFormat="1" hidden="1">
      <c r="B527" s="423"/>
      <c r="C527" s="423"/>
      <c r="D527" s="1753"/>
      <c r="E527" s="1753"/>
      <c r="F527" s="1753"/>
      <c r="G527" s="1753"/>
      <c r="H527" s="424"/>
      <c r="I527" s="428"/>
      <c r="J527" s="1763"/>
      <c r="K527" s="1762" t="s">
        <v>519</v>
      </c>
      <c r="L527" s="1762"/>
      <c r="M527" s="1762"/>
      <c r="N527" s="1762"/>
      <c r="O527" s="1762"/>
      <c r="P527" s="1762"/>
      <c r="Q527" s="1762"/>
      <c r="R527" s="1762"/>
      <c r="S527" s="1054">
        <f t="shared" ref="S527:AB527" si="146">SUMIFS(S$17:S$500,$D$17:$D$500,$K$527)</f>
        <v>0</v>
      </c>
      <c r="T527" s="1054">
        <f t="shared" si="146"/>
        <v>0</v>
      </c>
      <c r="U527" s="1054">
        <f t="shared" si="146"/>
        <v>0</v>
      </c>
      <c r="V527" s="1054">
        <f t="shared" si="146"/>
        <v>0</v>
      </c>
      <c r="W527" s="1054">
        <f t="shared" si="146"/>
        <v>0</v>
      </c>
      <c r="X527" s="1054">
        <f t="shared" si="146"/>
        <v>0</v>
      </c>
      <c r="Y527" s="1054">
        <f t="shared" si="146"/>
        <v>0</v>
      </c>
      <c r="Z527" s="1054">
        <f t="shared" si="146"/>
        <v>0</v>
      </c>
      <c r="AA527" s="1054">
        <f t="shared" si="146"/>
        <v>0</v>
      </c>
      <c r="AB527" s="1054">
        <f t="shared" si="146"/>
        <v>0</v>
      </c>
      <c r="AC527" s="403"/>
    </row>
    <row r="528" spans="1:77" s="121" customFormat="1" hidden="1">
      <c r="B528" s="423"/>
      <c r="C528" s="423"/>
      <c r="D528" s="1753"/>
      <c r="E528" s="1753"/>
      <c r="F528" s="1753"/>
      <c r="G528" s="1753"/>
      <c r="H528" s="424"/>
      <c r="I528" s="428"/>
      <c r="J528" s="1763"/>
      <c r="K528" s="1762" t="s">
        <v>518</v>
      </c>
      <c r="L528" s="1762"/>
      <c r="M528" s="1762"/>
      <c r="N528" s="1762"/>
      <c r="O528" s="1762"/>
      <c r="P528" s="1762"/>
      <c r="Q528" s="1762"/>
      <c r="R528" s="1762"/>
      <c r="S528" s="1054">
        <f t="shared" ref="S528:AB528" si="147">SUMIFS(S$17:S$500,$D$17:$D$500,$K$528)</f>
        <v>0</v>
      </c>
      <c r="T528" s="1054">
        <f t="shared" si="147"/>
        <v>0</v>
      </c>
      <c r="U528" s="1054">
        <f t="shared" si="147"/>
        <v>0</v>
      </c>
      <c r="V528" s="1054">
        <f t="shared" si="147"/>
        <v>0</v>
      </c>
      <c r="W528" s="1054">
        <f t="shared" si="147"/>
        <v>0</v>
      </c>
      <c r="X528" s="1054">
        <f t="shared" si="147"/>
        <v>0</v>
      </c>
      <c r="Y528" s="1054">
        <f t="shared" si="147"/>
        <v>0</v>
      </c>
      <c r="Z528" s="1054">
        <f t="shared" si="147"/>
        <v>0</v>
      </c>
      <c r="AA528" s="1054">
        <f t="shared" si="147"/>
        <v>0</v>
      </c>
      <c r="AB528" s="1054">
        <f t="shared" si="147"/>
        <v>0</v>
      </c>
      <c r="AC528" s="403"/>
    </row>
    <row r="529" spans="2:29" s="121" customFormat="1" hidden="1">
      <c r="B529" s="423"/>
      <c r="C529" s="423"/>
      <c r="D529" s="1753"/>
      <c r="E529" s="1753"/>
      <c r="F529" s="1753"/>
      <c r="G529" s="1753"/>
      <c r="H529" s="424"/>
      <c r="I529" s="428"/>
      <c r="J529" s="1763"/>
      <c r="K529" s="1762" t="s">
        <v>516</v>
      </c>
      <c r="L529" s="1762"/>
      <c r="M529" s="1762"/>
      <c r="N529" s="1762"/>
      <c r="O529" s="1762"/>
      <c r="P529" s="1762"/>
      <c r="Q529" s="1762"/>
      <c r="R529" s="1762"/>
      <c r="S529" s="1054">
        <f t="shared" ref="S529:AB529" si="148">SUMIFS(S$17:S$500,$D$17:$D$500,$K$529)</f>
        <v>0</v>
      </c>
      <c r="T529" s="1054">
        <f t="shared" si="148"/>
        <v>0</v>
      </c>
      <c r="U529" s="1054">
        <f t="shared" si="148"/>
        <v>0</v>
      </c>
      <c r="V529" s="1054">
        <f t="shared" si="148"/>
        <v>0</v>
      </c>
      <c r="W529" s="1054">
        <f t="shared" si="148"/>
        <v>0</v>
      </c>
      <c r="X529" s="1054">
        <f t="shared" si="148"/>
        <v>0</v>
      </c>
      <c r="Y529" s="1054">
        <f t="shared" si="148"/>
        <v>0</v>
      </c>
      <c r="Z529" s="1054">
        <f t="shared" si="148"/>
        <v>0</v>
      </c>
      <c r="AA529" s="1054">
        <f t="shared" si="148"/>
        <v>0</v>
      </c>
      <c r="AB529" s="1054">
        <f t="shared" si="148"/>
        <v>0</v>
      </c>
      <c r="AC529" s="403"/>
    </row>
    <row r="530" spans="2:29" s="121" customFormat="1" hidden="1">
      <c r="B530" s="429"/>
      <c r="C530" s="429"/>
      <c r="D530" s="1753"/>
      <c r="E530" s="1753"/>
      <c r="F530" s="1753"/>
      <c r="G530" s="1753"/>
      <c r="H530" s="430"/>
      <c r="I530" s="430"/>
      <c r="J530" s="1842" t="s">
        <v>566</v>
      </c>
      <c r="K530" s="1847" t="s">
        <v>289</v>
      </c>
      <c r="L530" s="1847"/>
      <c r="M530" s="1847"/>
      <c r="N530" s="1847"/>
      <c r="O530" s="1847"/>
      <c r="P530" s="1847"/>
      <c r="Q530" s="1847"/>
      <c r="R530" s="1847"/>
      <c r="S530" s="1054">
        <f>SUMIFS(S$507:S$522,$D$507:$D$522,$K530)</f>
        <v>0</v>
      </c>
      <c r="T530" s="1054">
        <f t="shared" ref="T530:AB533" si="149">SUMIFS(T$507:T$522,$D$507:$D$522,$K530)</f>
        <v>0</v>
      </c>
      <c r="U530" s="1054">
        <f t="shared" si="149"/>
        <v>0</v>
      </c>
      <c r="V530" s="1054">
        <f t="shared" si="149"/>
        <v>0</v>
      </c>
      <c r="W530" s="1054">
        <f t="shared" si="149"/>
        <v>0</v>
      </c>
      <c r="X530" s="1054">
        <f t="shared" si="149"/>
        <v>0</v>
      </c>
      <c r="Y530" s="1054">
        <f t="shared" si="149"/>
        <v>0</v>
      </c>
      <c r="Z530" s="1054">
        <f t="shared" si="149"/>
        <v>0</v>
      </c>
      <c r="AA530" s="1054">
        <f t="shared" si="149"/>
        <v>0</v>
      </c>
      <c r="AB530" s="1054">
        <f t="shared" si="149"/>
        <v>0</v>
      </c>
    </row>
    <row r="531" spans="2:29" s="121" customFormat="1" hidden="1">
      <c r="B531" s="1753"/>
      <c r="C531" s="1753"/>
      <c r="D531" s="1753"/>
      <c r="E531" s="1753"/>
      <c r="F531" s="1753"/>
      <c r="G531" s="1753"/>
      <c r="H531" s="431"/>
      <c r="I531" s="431"/>
      <c r="J531" s="1843"/>
      <c r="K531" s="1847" t="s">
        <v>519</v>
      </c>
      <c r="L531" s="1847"/>
      <c r="M531" s="1847"/>
      <c r="N531" s="1847"/>
      <c r="O531" s="1847"/>
      <c r="P531" s="1847"/>
      <c r="Q531" s="1847"/>
      <c r="R531" s="1847"/>
      <c r="S531" s="1054">
        <f t="shared" ref="S531:S533" si="150">SUMIFS(S$507:S$522,$D$507:$D$522,$K531)</f>
        <v>0</v>
      </c>
      <c r="T531" s="1054">
        <f t="shared" si="149"/>
        <v>0</v>
      </c>
      <c r="U531" s="1054">
        <f t="shared" si="149"/>
        <v>0</v>
      </c>
      <c r="V531" s="1054">
        <f t="shared" si="149"/>
        <v>0</v>
      </c>
      <c r="W531" s="1054">
        <f t="shared" si="149"/>
        <v>0</v>
      </c>
      <c r="X531" s="1054">
        <f t="shared" si="149"/>
        <v>0</v>
      </c>
      <c r="Y531" s="1054">
        <f t="shared" si="149"/>
        <v>0</v>
      </c>
      <c r="Z531" s="1054">
        <f t="shared" si="149"/>
        <v>0</v>
      </c>
      <c r="AA531" s="1054">
        <f t="shared" si="149"/>
        <v>0</v>
      </c>
      <c r="AB531" s="1054">
        <f t="shared" si="149"/>
        <v>0</v>
      </c>
    </row>
    <row r="532" spans="2:29" s="121" customFormat="1" hidden="1">
      <c r="B532" s="1753"/>
      <c r="C532" s="1753"/>
      <c r="D532" s="1753"/>
      <c r="E532" s="1753"/>
      <c r="F532" s="1753"/>
      <c r="G532" s="1753"/>
      <c r="H532" s="431"/>
      <c r="I532" s="431"/>
      <c r="J532" s="1843"/>
      <c r="K532" s="1847" t="s">
        <v>518</v>
      </c>
      <c r="L532" s="1847"/>
      <c r="M532" s="1847"/>
      <c r="N532" s="1847"/>
      <c r="O532" s="1847"/>
      <c r="P532" s="1847"/>
      <c r="Q532" s="1847"/>
      <c r="R532" s="1847"/>
      <c r="S532" s="1054">
        <f t="shared" si="150"/>
        <v>0</v>
      </c>
      <c r="T532" s="1054">
        <f t="shared" si="149"/>
        <v>0</v>
      </c>
      <c r="U532" s="1054">
        <f t="shared" si="149"/>
        <v>0</v>
      </c>
      <c r="V532" s="1054">
        <f t="shared" si="149"/>
        <v>0</v>
      </c>
      <c r="W532" s="1054">
        <f t="shared" si="149"/>
        <v>0</v>
      </c>
      <c r="X532" s="1054">
        <f t="shared" si="149"/>
        <v>0</v>
      </c>
      <c r="Y532" s="1054">
        <f t="shared" si="149"/>
        <v>0</v>
      </c>
      <c r="Z532" s="1054">
        <f t="shared" si="149"/>
        <v>0</v>
      </c>
      <c r="AA532" s="1054">
        <f t="shared" si="149"/>
        <v>0</v>
      </c>
      <c r="AB532" s="1054">
        <f t="shared" si="149"/>
        <v>0</v>
      </c>
    </row>
    <row r="533" spans="2:29" s="121" customFormat="1" ht="17.25" hidden="1" thickBot="1">
      <c r="B533" s="1753"/>
      <c r="C533" s="1753"/>
      <c r="D533" s="1753"/>
      <c r="E533" s="1753"/>
      <c r="F533" s="1753"/>
      <c r="G533" s="1753"/>
      <c r="H533" s="431"/>
      <c r="I533" s="431"/>
      <c r="J533" s="1843"/>
      <c r="K533" s="1852" t="s">
        <v>516</v>
      </c>
      <c r="L533" s="1852"/>
      <c r="M533" s="1852"/>
      <c r="N533" s="1852"/>
      <c r="O533" s="1852"/>
      <c r="P533" s="1852"/>
      <c r="Q533" s="1852"/>
      <c r="R533" s="1852"/>
      <c r="S533" s="1055">
        <f t="shared" si="150"/>
        <v>0</v>
      </c>
      <c r="T533" s="1055">
        <f t="shared" si="149"/>
        <v>0</v>
      </c>
      <c r="U533" s="1055">
        <f t="shared" si="149"/>
        <v>0</v>
      </c>
      <c r="V533" s="1055">
        <f t="shared" si="149"/>
        <v>0</v>
      </c>
      <c r="W533" s="1055">
        <f t="shared" si="149"/>
        <v>0</v>
      </c>
      <c r="X533" s="1055">
        <f t="shared" si="149"/>
        <v>0</v>
      </c>
      <c r="Y533" s="1055">
        <f t="shared" si="149"/>
        <v>0</v>
      </c>
      <c r="Z533" s="1055">
        <f t="shared" si="149"/>
        <v>0</v>
      </c>
      <c r="AA533" s="1055">
        <f t="shared" si="149"/>
        <v>0</v>
      </c>
      <c r="AB533" s="1055">
        <f t="shared" si="149"/>
        <v>0</v>
      </c>
    </row>
    <row r="534" spans="2:29" s="121" customFormat="1" ht="17.25" hidden="1" thickBot="1">
      <c r="D534" s="1753"/>
      <c r="E534" s="1753"/>
      <c r="F534" s="1753"/>
      <c r="G534" s="1753"/>
      <c r="J534" s="1764" t="s">
        <v>565</v>
      </c>
      <c r="K534" s="1765"/>
      <c r="L534" s="1765"/>
      <c r="M534" s="1765"/>
      <c r="N534" s="1765"/>
      <c r="O534" s="1765"/>
      <c r="P534" s="1765"/>
      <c r="Q534" s="1765"/>
      <c r="R534" s="1765"/>
      <c r="S534" s="1042">
        <f>SUM($S$525:$S$533)</f>
        <v>0</v>
      </c>
      <c r="T534" s="1042">
        <f>SUM($T$525:$T$533)</f>
        <v>0</v>
      </c>
      <c r="U534" s="1042">
        <f>SUM($U$525:$U$533)</f>
        <v>0</v>
      </c>
      <c r="V534" s="1042">
        <f>SUM($V$525:$V$533)</f>
        <v>0</v>
      </c>
      <c r="W534" s="1042">
        <f>SUM($W$525:$W$533)</f>
        <v>0</v>
      </c>
      <c r="X534" s="1042">
        <f>SUM($X$525:$X$533)</f>
        <v>0</v>
      </c>
      <c r="Y534" s="1042">
        <f>SUM($Y$525:$Y$533)</f>
        <v>0</v>
      </c>
      <c r="Z534" s="1042">
        <f>SUM($Z$525:$Z$533)</f>
        <v>0</v>
      </c>
      <c r="AA534" s="1042">
        <f>SUM($AA$525:$AA$533)</f>
        <v>0</v>
      </c>
      <c r="AB534" s="1042">
        <f>SUM($AB$525:$AB$533)</f>
        <v>0</v>
      </c>
    </row>
    <row r="535" spans="2:29" hidden="1">
      <c r="D535" s="1753"/>
      <c r="E535" s="1753"/>
      <c r="F535" s="1753"/>
      <c r="G535" s="1753"/>
      <c r="J535" s="1043"/>
      <c r="K535" s="1043"/>
      <c r="L535" s="1043"/>
      <c r="M535" s="1043"/>
      <c r="N535" s="1043"/>
      <c r="O535" s="1043"/>
      <c r="P535" s="1043"/>
      <c r="Q535" s="1043"/>
      <c r="R535" s="1043"/>
      <c r="S535" s="1043"/>
      <c r="T535" s="1043"/>
      <c r="U535" s="1043"/>
      <c r="V535" s="1043"/>
      <c r="W535" s="1043"/>
      <c r="X535" s="1043"/>
      <c r="Y535" s="1043"/>
      <c r="Z535" s="1043"/>
      <c r="AA535" s="1043"/>
      <c r="AB535" s="1043"/>
    </row>
    <row r="536" spans="2:29">
      <c r="D536" s="1753"/>
      <c r="E536" s="1753"/>
      <c r="F536" s="1753"/>
      <c r="G536" s="1753"/>
    </row>
    <row r="537" spans="2:29">
      <c r="D537" s="1753"/>
      <c r="E537" s="1753"/>
      <c r="F537" s="1753"/>
      <c r="G537" s="1753"/>
      <c r="J537" s="1221"/>
      <c r="K537" s="1221"/>
      <c r="L537" s="1221"/>
      <c r="M537" s="1221"/>
      <c r="N537" s="1221"/>
      <c r="O537" s="1221"/>
      <c r="P537" s="1221"/>
      <c r="Q537" s="426"/>
      <c r="R537" s="427"/>
      <c r="S537" s="787">
        <f>'Bilan financier'!$E$17</f>
        <v>2019</v>
      </c>
      <c r="T537" s="787">
        <f>'Bilan financier'!$E$17+1</f>
        <v>2020</v>
      </c>
      <c r="U537" s="787">
        <f>'Bilan financier'!$E$17+2</f>
        <v>2021</v>
      </c>
      <c r="V537" s="787">
        <f>'Bilan financier'!$E$17+3</f>
        <v>2022</v>
      </c>
      <c r="W537" s="787">
        <f>'Bilan financier'!$E$17+4</f>
        <v>2023</v>
      </c>
      <c r="X537" s="787">
        <f>'Bilan financier'!$E$17+5</f>
        <v>2024</v>
      </c>
      <c r="Y537" s="787">
        <f>'Bilan financier'!$E$17+6</f>
        <v>2025</v>
      </c>
      <c r="Z537" s="787">
        <f>'Bilan financier'!$E$17+7</f>
        <v>2026</v>
      </c>
      <c r="AA537" s="787">
        <f>'Bilan financier'!$E$17+8</f>
        <v>2027</v>
      </c>
      <c r="AB537" s="787">
        <f>'Bilan financier'!$E$17+9</f>
        <v>2028</v>
      </c>
    </row>
    <row r="538" spans="2:29">
      <c r="D538" s="1753"/>
      <c r="E538" s="1753"/>
      <c r="F538" s="1753"/>
      <c r="G538" s="1753"/>
      <c r="J538" s="1760" t="s">
        <v>784</v>
      </c>
      <c r="K538" s="1761" t="s">
        <v>289</v>
      </c>
      <c r="L538" s="1761"/>
      <c r="M538" s="1761"/>
      <c r="N538" s="1761"/>
      <c r="O538" s="1761"/>
      <c r="P538" s="1761"/>
      <c r="Q538" s="1761"/>
      <c r="R538" s="1761"/>
      <c r="S538" s="791">
        <f>IFERROR(HLOOKUP(S$537,$S$524:$AB$534,2,FALSE)+HLOOKUP(S$537,$S$524:$AB$534,3,FALSE)+HLOOKUP(S$537,$S$524:$AB$534,7,FALSE),"")</f>
        <v>0</v>
      </c>
      <c r="T538" s="791">
        <f t="shared" ref="T538:AB538" si="151">IFERROR(HLOOKUP(T$537,$S$524:$AB$534,2,FALSE)+HLOOKUP(T$537,$S$524:$AB$534,3,FALSE)+HLOOKUP(T$537,$S$524:$AB$534,7,FALSE),"")</f>
        <v>0</v>
      </c>
      <c r="U538" s="791">
        <f t="shared" si="151"/>
        <v>0</v>
      </c>
      <c r="V538" s="791">
        <f t="shared" si="151"/>
        <v>0</v>
      </c>
      <c r="W538" s="791">
        <f t="shared" si="151"/>
        <v>0</v>
      </c>
      <c r="X538" s="791">
        <f t="shared" si="151"/>
        <v>0</v>
      </c>
      <c r="Y538" s="791">
        <f t="shared" si="151"/>
        <v>0</v>
      </c>
      <c r="Z538" s="791">
        <f t="shared" si="151"/>
        <v>0</v>
      </c>
      <c r="AA538" s="791">
        <f t="shared" si="151"/>
        <v>0</v>
      </c>
      <c r="AB538" s="791">
        <f t="shared" si="151"/>
        <v>0</v>
      </c>
    </row>
    <row r="539" spans="2:29">
      <c r="D539" s="1753"/>
      <c r="E539" s="1753"/>
      <c r="F539" s="1753"/>
      <c r="G539" s="1753"/>
      <c r="J539" s="1760"/>
      <c r="K539" s="1761" t="s">
        <v>519</v>
      </c>
      <c r="L539" s="1761"/>
      <c r="M539" s="1761"/>
      <c r="N539" s="1761"/>
      <c r="O539" s="1761"/>
      <c r="P539" s="1761"/>
      <c r="Q539" s="1761"/>
      <c r="R539" s="1761"/>
      <c r="S539" s="1045">
        <f>IFERROR(HLOOKUP(S$537,$S$524:$AB$534,4,FALSE)+HLOOKUP(S$537,$S$524:$AB$534,8,FALSE),"")</f>
        <v>0</v>
      </c>
      <c r="T539" s="1045">
        <f t="shared" ref="T539:AB539" si="152">IFERROR(HLOOKUP(T$537,$S$524:$AB$534,4,FALSE)+HLOOKUP(T$537,$S$524:$AB$534,8,FALSE),"")</f>
        <v>0</v>
      </c>
      <c r="U539" s="1045">
        <f t="shared" si="152"/>
        <v>0</v>
      </c>
      <c r="V539" s="1045">
        <f t="shared" si="152"/>
        <v>0</v>
      </c>
      <c r="W539" s="1045">
        <f t="shared" si="152"/>
        <v>0</v>
      </c>
      <c r="X539" s="1045">
        <f t="shared" si="152"/>
        <v>0</v>
      </c>
      <c r="Y539" s="1045">
        <f t="shared" si="152"/>
        <v>0</v>
      </c>
      <c r="Z539" s="1045">
        <f t="shared" si="152"/>
        <v>0</v>
      </c>
      <c r="AA539" s="1045">
        <f t="shared" si="152"/>
        <v>0</v>
      </c>
      <c r="AB539" s="1045">
        <f t="shared" si="152"/>
        <v>0</v>
      </c>
    </row>
    <row r="540" spans="2:29">
      <c r="D540" s="1753"/>
      <c r="E540" s="1753"/>
      <c r="F540" s="1753"/>
      <c r="G540" s="1753"/>
      <c r="J540" s="1760"/>
      <c r="K540" s="1761" t="s">
        <v>518</v>
      </c>
      <c r="L540" s="1761"/>
      <c r="M540" s="1761"/>
      <c r="N540" s="1761"/>
      <c r="O540" s="1761"/>
      <c r="P540" s="1761"/>
      <c r="Q540" s="1761"/>
      <c r="R540" s="1761"/>
      <c r="S540" s="1045">
        <f>IFERROR(HLOOKUP(S$537,$S$524:$AB$534,5,FALSE)+HLOOKUP(S$537,$S$524:$AB$534,9,FALSE),"")</f>
        <v>0</v>
      </c>
      <c r="T540" s="1045">
        <f t="shared" ref="T540:AB540" si="153">IFERROR(HLOOKUP(T$537,$S$524:$AB$534,5,FALSE)+HLOOKUP(T$537,$S$524:$AB$534,9,FALSE),"")</f>
        <v>0</v>
      </c>
      <c r="U540" s="1045">
        <f t="shared" si="153"/>
        <v>0</v>
      </c>
      <c r="V540" s="1045">
        <f t="shared" si="153"/>
        <v>0</v>
      </c>
      <c r="W540" s="1045">
        <f t="shared" si="153"/>
        <v>0</v>
      </c>
      <c r="X540" s="1045">
        <f t="shared" si="153"/>
        <v>0</v>
      </c>
      <c r="Y540" s="1045">
        <f t="shared" si="153"/>
        <v>0</v>
      </c>
      <c r="Z540" s="1045">
        <f t="shared" si="153"/>
        <v>0</v>
      </c>
      <c r="AA540" s="1045">
        <f t="shared" si="153"/>
        <v>0</v>
      </c>
      <c r="AB540" s="1045">
        <f t="shared" si="153"/>
        <v>0</v>
      </c>
    </row>
    <row r="541" spans="2:29" ht="17.25" thickBot="1">
      <c r="D541" s="1753"/>
      <c r="E541" s="1753"/>
      <c r="F541" s="1753"/>
      <c r="G541" s="1753"/>
      <c r="J541" s="1760"/>
      <c r="K541" s="1761" t="s">
        <v>516</v>
      </c>
      <c r="L541" s="1761"/>
      <c r="M541" s="1761"/>
      <c r="N541" s="1761"/>
      <c r="O541" s="1761"/>
      <c r="P541" s="1761"/>
      <c r="Q541" s="1761"/>
      <c r="R541" s="1761"/>
      <c r="S541" s="1044">
        <f>IFERROR(HLOOKUP(S$537,$S$524:$AB$534,6,FALSE)+HLOOKUP(S$537,$S$524:$AB$534,10,FALSE),"")</f>
        <v>0</v>
      </c>
      <c r="T541" s="1044">
        <f t="shared" ref="T541:AB541" si="154">IFERROR(HLOOKUP(T$537,$S$524:$AB$534,6,FALSE)+HLOOKUP(T$537,$S$524:$AB$534,10,FALSE),"")</f>
        <v>0</v>
      </c>
      <c r="U541" s="1044">
        <f t="shared" si="154"/>
        <v>0</v>
      </c>
      <c r="V541" s="1044">
        <f t="shared" si="154"/>
        <v>0</v>
      </c>
      <c r="W541" s="1044">
        <f t="shared" si="154"/>
        <v>0</v>
      </c>
      <c r="X541" s="1044">
        <f t="shared" si="154"/>
        <v>0</v>
      </c>
      <c r="Y541" s="1044">
        <f t="shared" si="154"/>
        <v>0</v>
      </c>
      <c r="Z541" s="1044">
        <f t="shared" si="154"/>
        <v>0</v>
      </c>
      <c r="AA541" s="1044">
        <f t="shared" si="154"/>
        <v>0</v>
      </c>
      <c r="AB541" s="1044">
        <f t="shared" si="154"/>
        <v>0</v>
      </c>
    </row>
    <row r="542" spans="2:29" ht="17.25" thickBot="1">
      <c r="D542" s="1753"/>
      <c r="E542" s="1753"/>
      <c r="F542" s="1753"/>
      <c r="G542" s="1753"/>
      <c r="J542" s="1757" t="s">
        <v>565</v>
      </c>
      <c r="K542" s="1758"/>
      <c r="L542" s="1758"/>
      <c r="M542" s="1758"/>
      <c r="N542" s="1758"/>
      <c r="O542" s="1758"/>
      <c r="P542" s="1758"/>
      <c r="Q542" s="1758"/>
      <c r="R542" s="1758"/>
      <c r="S542" s="422">
        <f>SUM(S538:$S$541)</f>
        <v>0</v>
      </c>
      <c r="T542" s="422">
        <f>SUM($T$538:$T$541)</f>
        <v>0</v>
      </c>
      <c r="U542" s="422">
        <f>SUM($U$538:$U$541)</f>
        <v>0</v>
      </c>
      <c r="V542" s="422">
        <f>SUM($V$538:$V$541)</f>
        <v>0</v>
      </c>
      <c r="W542" s="422">
        <f>SUM($W$538:$W$541)</f>
        <v>0</v>
      </c>
      <c r="X542" s="422">
        <f>SUM($X$538:$X$541)</f>
        <v>0</v>
      </c>
      <c r="Y542" s="422">
        <f>SUM($Y$538:$Y$541)</f>
        <v>0</v>
      </c>
      <c r="Z542" s="422">
        <f>SUM($Z$538:$Z$541)</f>
        <v>0</v>
      </c>
      <c r="AA542" s="422">
        <f>SUM($AA$538:$AA$541)</f>
        <v>0</v>
      </c>
      <c r="AB542" s="1056">
        <f>SUM($AB$538:$AB$541)</f>
        <v>0</v>
      </c>
    </row>
  </sheetData>
  <sheetProtection algorithmName="SHA-512" hashValue="Ana/CdCGlh+jN+Iys6xihkBsdKgeQhkMzRTpwi+AyehMgTNR6y6+Eu5+1cKIhZPJplV4FxBSgPr7VoqWUOUXsw==" saltValue="G1PlAaco3cxJcnlt3bY5PQ==" spinCount="100000" sheet="1" objects="1" scenarios="1" selectLockedCells="1"/>
  <mergeCells count="662">
    <mergeCell ref="B42:C42"/>
    <mergeCell ref="B41:C41"/>
    <mergeCell ref="D62:G62"/>
    <mergeCell ref="D63:G63"/>
    <mergeCell ref="D64:G64"/>
    <mergeCell ref="D58:G58"/>
    <mergeCell ref="D53:G53"/>
    <mergeCell ref="D54:G54"/>
    <mergeCell ref="D41:G41"/>
    <mergeCell ref="D42:G42"/>
    <mergeCell ref="D47:G47"/>
    <mergeCell ref="D48:G48"/>
    <mergeCell ref="D49:G49"/>
    <mergeCell ref="D50:G50"/>
    <mergeCell ref="D51:G51"/>
    <mergeCell ref="D52:G52"/>
    <mergeCell ref="D59:G59"/>
    <mergeCell ref="B53:C53"/>
    <mergeCell ref="B52:C52"/>
    <mergeCell ref="B51:C51"/>
    <mergeCell ref="B50:C50"/>
    <mergeCell ref="D65:G65"/>
    <mergeCell ref="D43:G43"/>
    <mergeCell ref="D44:G44"/>
    <mergeCell ref="D45:G45"/>
    <mergeCell ref="D46:G46"/>
    <mergeCell ref="B43:C43"/>
    <mergeCell ref="B63:C63"/>
    <mergeCell ref="B62:C62"/>
    <mergeCell ref="B61:C61"/>
    <mergeCell ref="B60:C60"/>
    <mergeCell ref="B59:C59"/>
    <mergeCell ref="B58:C58"/>
    <mergeCell ref="B57:C57"/>
    <mergeCell ref="B56:C56"/>
    <mergeCell ref="B55:C55"/>
    <mergeCell ref="B54:C54"/>
    <mergeCell ref="B46:C46"/>
    <mergeCell ref="B45:C45"/>
    <mergeCell ref="B65:C65"/>
    <mergeCell ref="B64:C64"/>
    <mergeCell ref="D60:G60"/>
    <mergeCell ref="D61:G61"/>
    <mergeCell ref="B40:C40"/>
    <mergeCell ref="B39:C39"/>
    <mergeCell ref="B38:C38"/>
    <mergeCell ref="D36:G36"/>
    <mergeCell ref="D35:G35"/>
    <mergeCell ref="D34:G34"/>
    <mergeCell ref="D33:G33"/>
    <mergeCell ref="D32:G32"/>
    <mergeCell ref="D31:G31"/>
    <mergeCell ref="B36:C36"/>
    <mergeCell ref="B35:C35"/>
    <mergeCell ref="B34:C34"/>
    <mergeCell ref="B33:C33"/>
    <mergeCell ref="B32:C32"/>
    <mergeCell ref="B31:C31"/>
    <mergeCell ref="B37:C37"/>
    <mergeCell ref="D37:G37"/>
    <mergeCell ref="D38:G38"/>
    <mergeCell ref="D39:G39"/>
    <mergeCell ref="D40:G40"/>
    <mergeCell ref="B30:C30"/>
    <mergeCell ref="B29:C29"/>
    <mergeCell ref="D17:G17"/>
    <mergeCell ref="B21:C21"/>
    <mergeCell ref="D21:G21"/>
    <mergeCell ref="J530:J533"/>
    <mergeCell ref="AZ505:AZ506"/>
    <mergeCell ref="K14:K16"/>
    <mergeCell ref="M14:M16"/>
    <mergeCell ref="O504:O506"/>
    <mergeCell ref="K530:R530"/>
    <mergeCell ref="K531:R531"/>
    <mergeCell ref="K532:R532"/>
    <mergeCell ref="R14:R16"/>
    <mergeCell ref="Q14:Q16"/>
    <mergeCell ref="K528:R528"/>
    <mergeCell ref="K529:R529"/>
    <mergeCell ref="K525:R525"/>
    <mergeCell ref="M504:M506"/>
    <mergeCell ref="K533:R533"/>
    <mergeCell ref="B49:C49"/>
    <mergeCell ref="B48:C48"/>
    <mergeCell ref="B47:C47"/>
    <mergeCell ref="B44:C44"/>
    <mergeCell ref="B2:H2"/>
    <mergeCell ref="B4:J11"/>
    <mergeCell ref="B22:C22"/>
    <mergeCell ref="D22:G22"/>
    <mergeCell ref="D19:G19"/>
    <mergeCell ref="I14:I16"/>
    <mergeCell ref="B20:C20"/>
    <mergeCell ref="D20:G20"/>
    <mergeCell ref="J14:J16"/>
    <mergeCell ref="B19:C19"/>
    <mergeCell ref="H14:H16"/>
    <mergeCell ref="D18:G18"/>
    <mergeCell ref="D14:G16"/>
    <mergeCell ref="B14:C16"/>
    <mergeCell ref="B533:C533"/>
    <mergeCell ref="D533:G533"/>
    <mergeCell ref="D530:G530"/>
    <mergeCell ref="B531:C531"/>
    <mergeCell ref="D531:G531"/>
    <mergeCell ref="B532:C532"/>
    <mergeCell ref="D532:G532"/>
    <mergeCell ref="D509:G509"/>
    <mergeCell ref="B509:C509"/>
    <mergeCell ref="B514:C514"/>
    <mergeCell ref="B515:C515"/>
    <mergeCell ref="D512:G512"/>
    <mergeCell ref="B513:C513"/>
    <mergeCell ref="D513:G513"/>
    <mergeCell ref="D515:G515"/>
    <mergeCell ref="D517:G517"/>
    <mergeCell ref="B516:C516"/>
    <mergeCell ref="D516:G516"/>
    <mergeCell ref="B522:C522"/>
    <mergeCell ref="B521:C521"/>
    <mergeCell ref="B520:C520"/>
    <mergeCell ref="B519:C519"/>
    <mergeCell ref="D518:G518"/>
    <mergeCell ref="B511:C511"/>
    <mergeCell ref="B25:C25"/>
    <mergeCell ref="B17:C17"/>
    <mergeCell ref="B27:C27"/>
    <mergeCell ref="B28:C28"/>
    <mergeCell ref="D25:G25"/>
    <mergeCell ref="D28:G28"/>
    <mergeCell ref="B18:C18"/>
    <mergeCell ref="B26:C26"/>
    <mergeCell ref="D26:G26"/>
    <mergeCell ref="B23:C23"/>
    <mergeCell ref="D23:G23"/>
    <mergeCell ref="D27:G27"/>
    <mergeCell ref="B24:C24"/>
    <mergeCell ref="D24:G24"/>
    <mergeCell ref="B510:C510"/>
    <mergeCell ref="D510:G510"/>
    <mergeCell ref="D511:G511"/>
    <mergeCell ref="B512:C512"/>
    <mergeCell ref="B518:C518"/>
    <mergeCell ref="D514:G514"/>
    <mergeCell ref="D508:G508"/>
    <mergeCell ref="I504:I506"/>
    <mergeCell ref="J504:J506"/>
    <mergeCell ref="B517:C517"/>
    <mergeCell ref="B508:C508"/>
    <mergeCell ref="B507:C507"/>
    <mergeCell ref="D507:G507"/>
    <mergeCell ref="B504:C506"/>
    <mergeCell ref="D504:G506"/>
    <mergeCell ref="H504:H506"/>
    <mergeCell ref="AC15:AC16"/>
    <mergeCell ref="BY505:BY506"/>
    <mergeCell ref="BT505:BT506"/>
    <mergeCell ref="BP505:BP506"/>
    <mergeCell ref="BL505:BL506"/>
    <mergeCell ref="BU505:BU506"/>
    <mergeCell ref="Q504:Q506"/>
    <mergeCell ref="D522:G522"/>
    <mergeCell ref="D521:G521"/>
    <mergeCell ref="D520:G520"/>
    <mergeCell ref="D519:G519"/>
    <mergeCell ref="BW505:BW506"/>
    <mergeCell ref="L504:L506"/>
    <mergeCell ref="BQ505:BQ506"/>
    <mergeCell ref="BD505:BD506"/>
    <mergeCell ref="AR505:AR506"/>
    <mergeCell ref="AV505:AV506"/>
    <mergeCell ref="L14:L16"/>
    <mergeCell ref="D500:G500"/>
    <mergeCell ref="D30:G30"/>
    <mergeCell ref="D29:G29"/>
    <mergeCell ref="D55:G55"/>
    <mergeCell ref="D56:G56"/>
    <mergeCell ref="D57:G57"/>
    <mergeCell ref="AI12:AK13"/>
    <mergeCell ref="AI14:AJ14"/>
    <mergeCell ref="AI15:AJ15"/>
    <mergeCell ref="AI16:AJ16"/>
    <mergeCell ref="AI17:AJ17"/>
    <mergeCell ref="BX505:BX506"/>
    <mergeCell ref="AL504:BY504"/>
    <mergeCell ref="AN505:AN506"/>
    <mergeCell ref="AS505:AS506"/>
    <mergeCell ref="AW505:AW506"/>
    <mergeCell ref="BA505:BA506"/>
    <mergeCell ref="BE505:BE506"/>
    <mergeCell ref="BI505:BI506"/>
    <mergeCell ref="BM505:BM506"/>
    <mergeCell ref="AO505:AO506"/>
    <mergeCell ref="BH505:BH506"/>
    <mergeCell ref="S14:AB14"/>
    <mergeCell ref="J542:R542"/>
    <mergeCell ref="K524:Q524"/>
    <mergeCell ref="J538:J541"/>
    <mergeCell ref="K538:R538"/>
    <mergeCell ref="K539:R539"/>
    <mergeCell ref="K540:R540"/>
    <mergeCell ref="K541:R541"/>
    <mergeCell ref="K527:R527"/>
    <mergeCell ref="J525:J529"/>
    <mergeCell ref="J534:R534"/>
    <mergeCell ref="P14:P16"/>
    <mergeCell ref="N14:N16"/>
    <mergeCell ref="O14:O16"/>
    <mergeCell ref="R504:R506"/>
    <mergeCell ref="K504:K506"/>
    <mergeCell ref="S504:AB504"/>
    <mergeCell ref="K526:R526"/>
    <mergeCell ref="D66:G66"/>
    <mergeCell ref="D67:G67"/>
    <mergeCell ref="D68:G68"/>
    <mergeCell ref="D69:G69"/>
    <mergeCell ref="D70:G70"/>
    <mergeCell ref="D71:G71"/>
    <mergeCell ref="D72:G72"/>
    <mergeCell ref="D73:G73"/>
    <mergeCell ref="D74:G74"/>
    <mergeCell ref="D75:G75"/>
    <mergeCell ref="D397:G397"/>
    <mergeCell ref="D398:G398"/>
    <mergeCell ref="D399:G399"/>
    <mergeCell ref="D400:G400"/>
    <mergeCell ref="D401:G401"/>
    <mergeCell ref="D402:G402"/>
    <mergeCell ref="D403:G403"/>
    <mergeCell ref="D404:G404"/>
    <mergeCell ref="D337:G337"/>
    <mergeCell ref="D338:G338"/>
    <mergeCell ref="D339:G339"/>
    <mergeCell ref="D340:G340"/>
    <mergeCell ref="D341:G341"/>
    <mergeCell ref="D342:G342"/>
    <mergeCell ref="D343:G343"/>
    <mergeCell ref="D344:G344"/>
    <mergeCell ref="D345:G345"/>
    <mergeCell ref="D346:G346"/>
    <mergeCell ref="D347:G347"/>
    <mergeCell ref="D348:G348"/>
    <mergeCell ref="D349:G349"/>
    <mergeCell ref="D350:G350"/>
    <mergeCell ref="D351:G351"/>
    <mergeCell ref="D414:G414"/>
    <mergeCell ref="D415:G415"/>
    <mergeCell ref="D416:G416"/>
    <mergeCell ref="D417:G417"/>
    <mergeCell ref="D418:G418"/>
    <mergeCell ref="D419:G419"/>
    <mergeCell ref="D405:G405"/>
    <mergeCell ref="D406:G406"/>
    <mergeCell ref="D407:G407"/>
    <mergeCell ref="D408:G408"/>
    <mergeCell ref="D409:G409"/>
    <mergeCell ref="D410:G410"/>
    <mergeCell ref="D411:G411"/>
    <mergeCell ref="D412:G412"/>
    <mergeCell ref="D413:G413"/>
    <mergeCell ref="D523:G523"/>
    <mergeCell ref="D524:G524"/>
    <mergeCell ref="D525:G525"/>
    <mergeCell ref="D527:G527"/>
    <mergeCell ref="D528:G528"/>
    <mergeCell ref="D529:G529"/>
    <mergeCell ref="D534:G534"/>
    <mergeCell ref="D535:G535"/>
    <mergeCell ref="D444:G444"/>
    <mergeCell ref="D445:G445"/>
    <mergeCell ref="D446:G446"/>
    <mergeCell ref="D495:G495"/>
    <mergeCell ref="D496:G496"/>
    <mergeCell ref="D497:G497"/>
    <mergeCell ref="D498:G498"/>
    <mergeCell ref="D461:G461"/>
    <mergeCell ref="D462:G462"/>
    <mergeCell ref="D463:G463"/>
    <mergeCell ref="D448:G448"/>
    <mergeCell ref="D449:G449"/>
    <mergeCell ref="D450:G450"/>
    <mergeCell ref="D451:G451"/>
    <mergeCell ref="D452:G452"/>
    <mergeCell ref="D453:G453"/>
    <mergeCell ref="D537:G537"/>
    <mergeCell ref="D538:G538"/>
    <mergeCell ref="D539:G539"/>
    <mergeCell ref="D540:G540"/>
    <mergeCell ref="D541:G541"/>
    <mergeCell ref="D542:G542"/>
    <mergeCell ref="D536:G536"/>
    <mergeCell ref="D313:G313"/>
    <mergeCell ref="D314:G314"/>
    <mergeCell ref="D499:G499"/>
    <mergeCell ref="D481:G481"/>
    <mergeCell ref="D482:G482"/>
    <mergeCell ref="D483:G483"/>
    <mergeCell ref="D484:G484"/>
    <mergeCell ref="D485:G485"/>
    <mergeCell ref="D486:G486"/>
    <mergeCell ref="D487:G487"/>
    <mergeCell ref="D488:G488"/>
    <mergeCell ref="D489:G489"/>
    <mergeCell ref="D420:G420"/>
    <mergeCell ref="D491:G491"/>
    <mergeCell ref="D492:G492"/>
    <mergeCell ref="D493:G493"/>
    <mergeCell ref="D494:G494"/>
    <mergeCell ref="D150:G150"/>
    <mergeCell ref="D151:G151"/>
    <mergeCell ref="D152:G152"/>
    <mergeCell ref="D307:G307"/>
    <mergeCell ref="D308:G308"/>
    <mergeCell ref="D309:G309"/>
    <mergeCell ref="D310:G310"/>
    <mergeCell ref="D311:G311"/>
    <mergeCell ref="D312:G312"/>
    <mergeCell ref="D251:G251"/>
    <mergeCell ref="D252:G252"/>
    <mergeCell ref="D253:G253"/>
    <mergeCell ref="D254:G254"/>
    <mergeCell ref="D255:G255"/>
    <mergeCell ref="D256:G256"/>
    <mergeCell ref="D257:G257"/>
    <mergeCell ref="D258:G258"/>
    <mergeCell ref="D259:G259"/>
    <mergeCell ref="D260:G260"/>
    <mergeCell ref="D261:G261"/>
    <mergeCell ref="D262:G262"/>
    <mergeCell ref="D263:G263"/>
    <mergeCell ref="D264:G264"/>
    <mergeCell ref="D265:G265"/>
    <mergeCell ref="D437:G437"/>
    <mergeCell ref="D438:G438"/>
    <mergeCell ref="D439:G439"/>
    <mergeCell ref="D440:G440"/>
    <mergeCell ref="D490:G490"/>
    <mergeCell ref="D471:G471"/>
    <mergeCell ref="D472:G472"/>
    <mergeCell ref="D473:G473"/>
    <mergeCell ref="D474:G474"/>
    <mergeCell ref="D475:G475"/>
    <mergeCell ref="D476:G476"/>
    <mergeCell ref="D477:G477"/>
    <mergeCell ref="D478:G478"/>
    <mergeCell ref="D479:G479"/>
    <mergeCell ref="D480:G480"/>
    <mergeCell ref="D464:G464"/>
    <mergeCell ref="D465:G465"/>
    <mergeCell ref="D466:G466"/>
    <mergeCell ref="D467:G467"/>
    <mergeCell ref="D468:G468"/>
    <mergeCell ref="D469:G469"/>
    <mergeCell ref="D441:G441"/>
    <mergeCell ref="D442:G442"/>
    <mergeCell ref="D443:G443"/>
    <mergeCell ref="D454:G454"/>
    <mergeCell ref="D470:G470"/>
    <mergeCell ref="D421:G421"/>
    <mergeCell ref="D422:G422"/>
    <mergeCell ref="D423:G423"/>
    <mergeCell ref="D424:G424"/>
    <mergeCell ref="D425:G425"/>
    <mergeCell ref="D426:G426"/>
    <mergeCell ref="D427:G427"/>
    <mergeCell ref="D428:G428"/>
    <mergeCell ref="D429:G429"/>
    <mergeCell ref="D430:G430"/>
    <mergeCell ref="D431:G431"/>
    <mergeCell ref="D432:G432"/>
    <mergeCell ref="D433:G433"/>
    <mergeCell ref="D434:G434"/>
    <mergeCell ref="D435:G435"/>
    <mergeCell ref="D436:G436"/>
    <mergeCell ref="D455:G455"/>
    <mergeCell ref="D456:G456"/>
    <mergeCell ref="D457:G457"/>
    <mergeCell ref="D458:G458"/>
    <mergeCell ref="D459:G459"/>
    <mergeCell ref="D460:G460"/>
    <mergeCell ref="D320:G320"/>
    <mergeCell ref="D321:G321"/>
    <mergeCell ref="D322:G322"/>
    <mergeCell ref="D323:G323"/>
    <mergeCell ref="D324:G324"/>
    <mergeCell ref="D325:G325"/>
    <mergeCell ref="D326:G326"/>
    <mergeCell ref="D327:G327"/>
    <mergeCell ref="D328:G328"/>
    <mergeCell ref="D329:G329"/>
    <mergeCell ref="D330:G330"/>
    <mergeCell ref="D331:G331"/>
    <mergeCell ref="D332:G332"/>
    <mergeCell ref="D333:G333"/>
    <mergeCell ref="D334:G334"/>
    <mergeCell ref="D335:G335"/>
    <mergeCell ref="D336:G336"/>
    <mergeCell ref="D447:G447"/>
    <mergeCell ref="D352:G352"/>
    <mergeCell ref="D353:G353"/>
    <mergeCell ref="D354:G354"/>
    <mergeCell ref="D355:G355"/>
    <mergeCell ref="D356:G356"/>
    <mergeCell ref="D357:G357"/>
    <mergeCell ref="D358:G358"/>
    <mergeCell ref="D359:G359"/>
    <mergeCell ref="D360:G360"/>
    <mergeCell ref="D361:G361"/>
    <mergeCell ref="D362:G362"/>
    <mergeCell ref="D363:G363"/>
    <mergeCell ref="D364:G364"/>
    <mergeCell ref="D365:G365"/>
    <mergeCell ref="D366:G366"/>
    <mergeCell ref="D367:G367"/>
    <mergeCell ref="D368:G368"/>
    <mergeCell ref="D369:G369"/>
    <mergeCell ref="D370:G370"/>
    <mergeCell ref="D371:G371"/>
    <mergeCell ref="D372:G372"/>
    <mergeCell ref="D373:G373"/>
    <mergeCell ref="D374:G374"/>
    <mergeCell ref="D375:G375"/>
    <mergeCell ref="D376:G376"/>
    <mergeCell ref="D377:G377"/>
    <mergeCell ref="D378:G378"/>
    <mergeCell ref="D379:G379"/>
    <mergeCell ref="D380:G380"/>
    <mergeCell ref="D381:G381"/>
    <mergeCell ref="D382:G382"/>
    <mergeCell ref="D383:G383"/>
    <mergeCell ref="D384:G384"/>
    <mergeCell ref="D385:G385"/>
    <mergeCell ref="D386:G386"/>
    <mergeCell ref="D387:G387"/>
    <mergeCell ref="D388:G388"/>
    <mergeCell ref="D389:G389"/>
    <mergeCell ref="D390:G390"/>
    <mergeCell ref="D391:G391"/>
    <mergeCell ref="D392:G392"/>
    <mergeCell ref="D393:G393"/>
    <mergeCell ref="D394:G394"/>
    <mergeCell ref="D395:G395"/>
    <mergeCell ref="D396:G396"/>
    <mergeCell ref="D230:G230"/>
    <mergeCell ref="D231:G231"/>
    <mergeCell ref="D232:G232"/>
    <mergeCell ref="D233:G233"/>
    <mergeCell ref="D234:G234"/>
    <mergeCell ref="D235:G235"/>
    <mergeCell ref="D236:G236"/>
    <mergeCell ref="D237:G237"/>
    <mergeCell ref="D238:G238"/>
    <mergeCell ref="D239:G239"/>
    <mergeCell ref="D240:G240"/>
    <mergeCell ref="D241:G241"/>
    <mergeCell ref="D242:G242"/>
    <mergeCell ref="D243:G243"/>
    <mergeCell ref="D244:G244"/>
    <mergeCell ref="D245:G245"/>
    <mergeCell ref="D246:G246"/>
    <mergeCell ref="D247:G247"/>
    <mergeCell ref="D248:G248"/>
    <mergeCell ref="D249:G249"/>
    <mergeCell ref="D250:G250"/>
    <mergeCell ref="D266:G266"/>
    <mergeCell ref="D267:G267"/>
    <mergeCell ref="D268:G268"/>
    <mergeCell ref="D269:G269"/>
    <mergeCell ref="D270:G270"/>
    <mergeCell ref="D271:G271"/>
    <mergeCell ref="D272:G272"/>
    <mergeCell ref="D273:G273"/>
    <mergeCell ref="D274:G274"/>
    <mergeCell ref="D275:G275"/>
    <mergeCell ref="D276:G276"/>
    <mergeCell ref="D277:G277"/>
    <mergeCell ref="D278:G278"/>
    <mergeCell ref="D279:G279"/>
    <mergeCell ref="D280:G280"/>
    <mergeCell ref="D281:G281"/>
    <mergeCell ref="D282:G282"/>
    <mergeCell ref="D283:G283"/>
    <mergeCell ref="D284:G284"/>
    <mergeCell ref="D285:G285"/>
    <mergeCell ref="D286:G286"/>
    <mergeCell ref="D287:G287"/>
    <mergeCell ref="D288:G288"/>
    <mergeCell ref="D289:G289"/>
    <mergeCell ref="D290:G290"/>
    <mergeCell ref="D291:G291"/>
    <mergeCell ref="D292:G292"/>
    <mergeCell ref="D293:G293"/>
    <mergeCell ref="D294:G294"/>
    <mergeCell ref="D295:G295"/>
    <mergeCell ref="D296:G296"/>
    <mergeCell ref="D297:G297"/>
    <mergeCell ref="D298:G298"/>
    <mergeCell ref="D299:G299"/>
    <mergeCell ref="D300:G300"/>
    <mergeCell ref="D301:G301"/>
    <mergeCell ref="D302:G302"/>
    <mergeCell ref="D303:G303"/>
    <mergeCell ref="D304:G304"/>
    <mergeCell ref="D305:G305"/>
    <mergeCell ref="D306:G306"/>
    <mergeCell ref="D153:G153"/>
    <mergeCell ref="D154:G154"/>
    <mergeCell ref="D155:G155"/>
    <mergeCell ref="D156:G156"/>
    <mergeCell ref="D157:G157"/>
    <mergeCell ref="D158:G158"/>
    <mergeCell ref="D159:G159"/>
    <mergeCell ref="D160:G160"/>
    <mergeCell ref="D161:G161"/>
    <mergeCell ref="D162:G162"/>
    <mergeCell ref="D163:G163"/>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177:G177"/>
    <mergeCell ref="D178:G178"/>
    <mergeCell ref="D179:G179"/>
    <mergeCell ref="D180:G180"/>
    <mergeCell ref="D191:G191"/>
    <mergeCell ref="D192:G192"/>
    <mergeCell ref="D193:G193"/>
    <mergeCell ref="D194:G194"/>
    <mergeCell ref="D195:G195"/>
    <mergeCell ref="D196:G196"/>
    <mergeCell ref="D197:G197"/>
    <mergeCell ref="D198:G198"/>
    <mergeCell ref="D181:G181"/>
    <mergeCell ref="D182:G182"/>
    <mergeCell ref="D183:G183"/>
    <mergeCell ref="D184:G184"/>
    <mergeCell ref="D185:G185"/>
    <mergeCell ref="D186:G186"/>
    <mergeCell ref="D187:G187"/>
    <mergeCell ref="D188:G188"/>
    <mergeCell ref="D189:G189"/>
    <mergeCell ref="D94:G94"/>
    <mergeCell ref="D95:G95"/>
    <mergeCell ref="D217:G217"/>
    <mergeCell ref="D218:G218"/>
    <mergeCell ref="D219:G219"/>
    <mergeCell ref="D220:G220"/>
    <mergeCell ref="D221:G221"/>
    <mergeCell ref="D222:G222"/>
    <mergeCell ref="D223:G223"/>
    <mergeCell ref="D208:G208"/>
    <mergeCell ref="D209:G209"/>
    <mergeCell ref="D210:G210"/>
    <mergeCell ref="D211:G211"/>
    <mergeCell ref="D212:G212"/>
    <mergeCell ref="D213:G213"/>
    <mergeCell ref="D214:G214"/>
    <mergeCell ref="D215:G215"/>
    <mergeCell ref="D216:G216"/>
    <mergeCell ref="D199:G199"/>
    <mergeCell ref="D200:G200"/>
    <mergeCell ref="D201:G201"/>
    <mergeCell ref="D202:G202"/>
    <mergeCell ref="D203:G203"/>
    <mergeCell ref="D204:G204"/>
    <mergeCell ref="D85:G85"/>
    <mergeCell ref="D86:G86"/>
    <mergeCell ref="D87:G87"/>
    <mergeCell ref="D88:G88"/>
    <mergeCell ref="D89:G89"/>
    <mergeCell ref="D90:G90"/>
    <mergeCell ref="D91:G91"/>
    <mergeCell ref="D92:G92"/>
    <mergeCell ref="D93:G93"/>
    <mergeCell ref="D76:G76"/>
    <mergeCell ref="D77:G77"/>
    <mergeCell ref="D78:G78"/>
    <mergeCell ref="D79:G79"/>
    <mergeCell ref="D80:G80"/>
    <mergeCell ref="D81:G81"/>
    <mergeCell ref="D82:G82"/>
    <mergeCell ref="D83:G83"/>
    <mergeCell ref="D84:G84"/>
    <mergeCell ref="D96:G96"/>
    <mergeCell ref="D97:G97"/>
    <mergeCell ref="D98:G98"/>
    <mergeCell ref="D99:G99"/>
    <mergeCell ref="D100:G100"/>
    <mergeCell ref="D101:G101"/>
    <mergeCell ref="D102:G102"/>
    <mergeCell ref="D103:G103"/>
    <mergeCell ref="D104:G104"/>
    <mergeCell ref="D105:G105"/>
    <mergeCell ref="D106:G106"/>
    <mergeCell ref="D107:G107"/>
    <mergeCell ref="D108:G108"/>
    <mergeCell ref="D109:G109"/>
    <mergeCell ref="D110:G110"/>
    <mergeCell ref="D111:G111"/>
    <mergeCell ref="D112:G112"/>
    <mergeCell ref="D113:G113"/>
    <mergeCell ref="D114:G114"/>
    <mergeCell ref="D115:G115"/>
    <mergeCell ref="D116:G116"/>
    <mergeCell ref="D117:G11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0:G140"/>
    <mergeCell ref="D315:G315"/>
    <mergeCell ref="D316:G316"/>
    <mergeCell ref="D317:G317"/>
    <mergeCell ref="D318:G318"/>
    <mergeCell ref="D319:G319"/>
    <mergeCell ref="D141:G141"/>
    <mergeCell ref="D142:G142"/>
    <mergeCell ref="D143:G143"/>
    <mergeCell ref="D144:G144"/>
    <mergeCell ref="D145:G145"/>
    <mergeCell ref="D146:G146"/>
    <mergeCell ref="D147:G147"/>
    <mergeCell ref="D148:G148"/>
    <mergeCell ref="D149:G149"/>
    <mergeCell ref="D226:G226"/>
    <mergeCell ref="D227:G227"/>
    <mergeCell ref="D228:G228"/>
    <mergeCell ref="D229:G229"/>
    <mergeCell ref="D224:G224"/>
    <mergeCell ref="D225:G225"/>
    <mergeCell ref="D205:G205"/>
    <mergeCell ref="D206:G206"/>
    <mergeCell ref="D207:G207"/>
    <mergeCell ref="D190:G190"/>
  </mergeCells>
  <conditionalFormatting sqref="L17:L500">
    <cfRule type="expression" dxfId="33" priority="7">
      <formula>$D$17="Bâtiments"</formula>
    </cfRule>
  </conditionalFormatting>
  <conditionalFormatting sqref="S507:AB522 S17:AB500">
    <cfRule type="containsErrors" dxfId="32" priority="5">
      <formula>ISERROR(S17)</formula>
    </cfRule>
  </conditionalFormatting>
  <conditionalFormatting sqref="AL507:BV522">
    <cfRule type="containsErrors" dxfId="31" priority="10">
      <formula>ISERROR(AL507)</formula>
    </cfRule>
  </conditionalFormatting>
  <dataValidations count="6">
    <dataValidation type="whole" allowBlank="1" showInputMessage="1" showErrorMessage="1" sqref="Q537 R500:R503 Q507:Q523 Q503 R490 Q491:Q499 R480 Q481:Q489 R470 Q471:Q479 Q431:Q439 Q461:Q469 R460 R450 Q451:Q459 R440 Q441:Q449 R430 R353 Q394:Q429 R393 Q354:Q362 Q384:Q392 R383 R373 Q374:Q382 R363 Q364:Q372 Q274:Q282 Q130:Q138 R263 R303 Q264:Q272 Q294:Q302 R293 R283 Q284:Q292 R273 R196 Q227:Q262 Q197:Q205 R186 R226 Q187:Q195 Q217:Q225 R216 R206 Q207:Q215 Q17:Q108 Q150:Q185 R119 Q120:Q128 R109 R149 Q110:Q118 Q140:Q148 R139 R129 Q304:Q352">
      <formula1>0</formula1>
      <formula2>50</formula2>
    </dataValidation>
    <dataValidation type="list" allowBlank="1" showInputMessage="1" showErrorMessage="1" sqref="L523 K537:L537 K507:K523 K17:K500">
      <formula1>"Janvier,Février,Mars,Avril,Mai,Juin,Juillet,Août,Septembre,Octobre,Novembre,Décembre,Non renseigné"</formula1>
    </dataValidation>
    <dataValidation type="list" allowBlank="1" showInputMessage="1" showErrorMessage="1" sqref="D507:G522">
      <mc:AlternateContent xmlns:x12ac="http://schemas.microsoft.com/office/spreadsheetml/2011/1/ac" xmlns:mc="http://schemas.openxmlformats.org/markup-compatibility/2006">
        <mc:Choice Requires="x12ac">
          <x12ac:list>Bâtiments,"Matériel-Outillage, Equipements mobiliers",Agencements et installations (IGAAC),Autres immobilisations,NON RENSEIGNE</x12ac:list>
        </mc:Choice>
        <mc:Fallback>
          <formula1>"Bâtiments,Matériel-Outillage, Equipements mobiliers,Agencements et installations (IGAAC),Autres immobilisations,NON RENSEIGNE"</formula1>
        </mc:Fallback>
      </mc:AlternateContent>
    </dataValidation>
    <dataValidation type="list" allowBlank="1" showInputMessage="1" showErrorMessage="1" sqref="M503:P503">
      <formula1>"Janvier,Février,Mars,Avril,Mai,Juin,Juillet,Août,Septembre,Octobre,Novembre,Décembre"</formula1>
    </dataValidation>
    <dataValidation type="list" errorStyle="warning" allowBlank="1" showInputMessage="1" showErrorMessage="1" sqref="J507:J522 J17:J500">
      <formula1>"2015,2016,2017,2018,2019,2020,2021,2022,2023,2024,Non renseigné"</formula1>
    </dataValidation>
    <dataValidation type="list" allowBlank="1" showInputMessage="1" showErrorMessage="1" sqref="D17:G500">
      <mc:AlternateContent xmlns:x12ac="http://schemas.microsoft.com/office/spreadsheetml/2011/1/ac" xmlns:mc="http://schemas.openxmlformats.org/markup-compatibility/2006">
        <mc:Choice Requires="x12ac">
          <x12ac:list>Bâtiments avec mise en service N+1,Bâtiments avec mise en service N,"Matériel-Outillage, Equipements mobiliers",Agencements et installations (IGAAC),Autres immobilisations,NON RENSEIGNE</x12ac:list>
        </mc:Choice>
        <mc:Fallback>
          <formula1>"Bâtiments avec mise en service N+1,Bâtiments avec mise en service N,Matériel-Outillage, Equipements mobiliers,Agencements et installations (IGAAC),Autres immobilisations,NON RENSEIGNE"</formula1>
        </mc:Fallback>
      </mc:AlternateContent>
    </dataValidation>
  </dataValidations>
  <hyperlinks>
    <hyperlink ref="Q504:Q506" location="'Durées amortissements'!A1" tooltip="Durée d'amortissement" display="Durée d'amort."/>
    <hyperlink ref="Q14:Q16" location="'AIDE-Durées amortissements'!A1" display="Durée amort."/>
  </hyperlinks>
  <pageMargins left="0.23622047244094491" right="0.23622047244094491" top="0.74803149606299213" bottom="0.74803149606299213" header="0.31496062992125984" footer="0.31496062992125984"/>
  <pageSetup paperSize="9" scale="39" orientation="landscape" r:id="rId1"/>
  <rowBreaks count="1" manualBreakCount="1">
    <brk id="501" max="27" man="1"/>
  </rowBreaks>
  <ignoredErrors>
    <ignoredError sqref="I18:I28" evalError="1"/>
    <ignoredError sqref="V534 W534 X534 Y534 AB534 AA534 Z534" formula="1"/>
    <ignoredError sqref="M507:M509 O507:O509 R507:R518" unlockedFormula="1"/>
    <ignoredError sqref="I510 I511:I518 M510:M518 O510:O518 I507:I509" evalError="1" unlocked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FFFF00"/>
  </sheetPr>
  <dimension ref="B2:I63"/>
  <sheetViews>
    <sheetView view="pageBreakPreview" zoomScale="90" zoomScaleNormal="90" zoomScaleSheetLayoutView="90" workbookViewId="0">
      <selection activeCell="G6" sqref="G6"/>
    </sheetView>
  </sheetViews>
  <sheetFormatPr baseColWidth="10" defaultRowHeight="13.5"/>
  <cols>
    <col min="1" max="2" width="12.7109375" style="432" customWidth="1"/>
    <col min="3" max="3" width="45.7109375" style="432" customWidth="1"/>
    <col min="4" max="4" width="25.5703125" style="435" customWidth="1"/>
    <col min="5" max="5" width="22.5703125" style="437" customWidth="1"/>
    <col min="6" max="6" width="24.5703125" style="437" customWidth="1"/>
    <col min="7" max="16384" width="11.42578125" style="432"/>
  </cols>
  <sheetData>
    <row r="2" spans="2:6" ht="14.25">
      <c r="C2" s="1754" t="s">
        <v>305</v>
      </c>
      <c r="D2" s="1756"/>
      <c r="E2" s="433"/>
      <c r="F2" s="434"/>
    </row>
    <row r="3" spans="2:6" ht="15" customHeight="1">
      <c r="E3" s="436"/>
    </row>
    <row r="4" spans="2:6" ht="15" customHeight="1">
      <c r="E4" s="438"/>
    </row>
    <row r="5" spans="2:6" ht="15" customHeight="1">
      <c r="B5" s="1853" t="s">
        <v>568</v>
      </c>
      <c r="C5" s="1854"/>
      <c r="D5" s="1854"/>
      <c r="E5" s="1854"/>
      <c r="F5" s="1855"/>
    </row>
    <row r="6" spans="2:6" ht="110.1" customHeight="1">
      <c r="B6" s="1856"/>
      <c r="C6" s="1857"/>
      <c r="D6" s="1857"/>
      <c r="E6" s="1857"/>
      <c r="F6" s="1858"/>
    </row>
    <row r="8" spans="2:6" s="441" customFormat="1" ht="27">
      <c r="B8" s="796" t="s">
        <v>276</v>
      </c>
      <c r="C8" s="796" t="s">
        <v>277</v>
      </c>
      <c r="D8" s="2175" t="s">
        <v>272</v>
      </c>
      <c r="E8" s="2176" t="s">
        <v>698</v>
      </c>
      <c r="F8" s="2177" t="s">
        <v>302</v>
      </c>
    </row>
    <row r="9" spans="2:6" s="441" customFormat="1" ht="14.25">
      <c r="B9" s="439">
        <v>20</v>
      </c>
      <c r="C9" s="440" t="s">
        <v>50</v>
      </c>
      <c r="D9" s="2178" t="s">
        <v>306</v>
      </c>
      <c r="E9" s="2179" t="s">
        <v>278</v>
      </c>
      <c r="F9" s="2180"/>
    </row>
    <row r="10" spans="2:6" s="441" customFormat="1" ht="14.25">
      <c r="B10" s="442">
        <v>201</v>
      </c>
      <c r="C10" s="443" t="s">
        <v>279</v>
      </c>
      <c r="D10" s="2181" t="s">
        <v>306</v>
      </c>
      <c r="E10" s="2182"/>
      <c r="F10" s="2182"/>
    </row>
    <row r="11" spans="2:6" s="441" customFormat="1" ht="14.25">
      <c r="B11" s="442">
        <v>203</v>
      </c>
      <c r="C11" s="443" t="s">
        <v>291</v>
      </c>
      <c r="D11" s="2181" t="s">
        <v>306</v>
      </c>
      <c r="E11" s="2182"/>
      <c r="F11" s="2182"/>
    </row>
    <row r="12" spans="2:6" s="441" customFormat="1" ht="27">
      <c r="B12" s="442">
        <v>205</v>
      </c>
      <c r="C12" s="444" t="s">
        <v>292</v>
      </c>
      <c r="D12" s="2183" t="s">
        <v>285</v>
      </c>
      <c r="E12" s="2184" t="s">
        <v>699</v>
      </c>
      <c r="F12" s="2185">
        <v>0.5</v>
      </c>
    </row>
    <row r="13" spans="2:6" s="441" customFormat="1" ht="14.25">
      <c r="B13" s="442">
        <v>208</v>
      </c>
      <c r="C13" s="443" t="s">
        <v>293</v>
      </c>
      <c r="D13" s="2181" t="s">
        <v>306</v>
      </c>
      <c r="E13" s="2182"/>
      <c r="F13" s="2182"/>
    </row>
    <row r="14" spans="2:6" s="441" customFormat="1" ht="14.25">
      <c r="B14" s="442"/>
      <c r="C14" s="443"/>
      <c r="D14" s="2181" t="s">
        <v>306</v>
      </c>
      <c r="E14" s="2184"/>
      <c r="F14" s="2182"/>
    </row>
    <row r="15" spans="2:6" s="441" customFormat="1" ht="14.25">
      <c r="B15" s="445">
        <v>21</v>
      </c>
      <c r="C15" s="446" t="s">
        <v>51</v>
      </c>
      <c r="D15" s="2181" t="s">
        <v>306</v>
      </c>
      <c r="E15" s="2184"/>
      <c r="F15" s="2182"/>
    </row>
    <row r="16" spans="2:6" s="441" customFormat="1" ht="27">
      <c r="B16" s="447">
        <v>212</v>
      </c>
      <c r="C16" s="448" t="s">
        <v>294</v>
      </c>
      <c r="D16" s="2181" t="s">
        <v>306</v>
      </c>
      <c r="E16" s="2186"/>
      <c r="F16" s="2187"/>
    </row>
    <row r="17" spans="2:9" s="441" customFormat="1" ht="14.25" customHeight="1">
      <c r="B17" s="447">
        <v>213</v>
      </c>
      <c r="C17" s="449" t="s">
        <v>284</v>
      </c>
      <c r="D17" s="2181" t="s">
        <v>306</v>
      </c>
      <c r="E17" s="2186"/>
      <c r="F17" s="2187"/>
    </row>
    <row r="18" spans="2:9" s="441" customFormat="1" ht="14.25" customHeight="1">
      <c r="B18" s="450">
        <v>2131</v>
      </c>
      <c r="C18" s="451" t="s">
        <v>289</v>
      </c>
      <c r="D18" s="2183" t="s">
        <v>289</v>
      </c>
      <c r="E18" s="2186" t="s">
        <v>287</v>
      </c>
      <c r="F18" s="2187" t="s">
        <v>2187</v>
      </c>
    </row>
    <row r="19" spans="2:9" s="441" customFormat="1" ht="30" customHeight="1">
      <c r="B19" s="450">
        <v>21312</v>
      </c>
      <c r="C19" s="452" t="s">
        <v>304</v>
      </c>
      <c r="D19" s="2183" t="s">
        <v>303</v>
      </c>
      <c r="E19" s="2186" t="s">
        <v>701</v>
      </c>
      <c r="F19" s="2188">
        <v>6.7000000000000004E-2</v>
      </c>
    </row>
    <row r="20" spans="2:9" s="441" customFormat="1" ht="14.25" customHeight="1">
      <c r="B20" s="447">
        <v>214</v>
      </c>
      <c r="C20" s="449" t="s">
        <v>283</v>
      </c>
      <c r="D20" s="2181" t="s">
        <v>306</v>
      </c>
      <c r="E20" s="2186"/>
      <c r="F20" s="2186"/>
    </row>
    <row r="21" spans="2:9" s="441" customFormat="1" ht="14.25" customHeight="1">
      <c r="B21" s="453">
        <v>215</v>
      </c>
      <c r="C21" s="454" t="s">
        <v>295</v>
      </c>
      <c r="D21" s="2189" t="s">
        <v>301</v>
      </c>
      <c r="E21" s="2190" t="s">
        <v>288</v>
      </c>
      <c r="F21" s="2191">
        <v>0.1</v>
      </c>
    </row>
    <row r="22" spans="2:9" s="441" customFormat="1" ht="14.25" customHeight="1">
      <c r="B22" s="442"/>
      <c r="C22" s="443"/>
      <c r="D22" s="2192" t="s">
        <v>280</v>
      </c>
      <c r="E22" s="2184" t="s">
        <v>288</v>
      </c>
      <c r="F22" s="2185">
        <v>0.1</v>
      </c>
    </row>
    <row r="23" spans="2:9" s="441" customFormat="1" ht="14.25" customHeight="1">
      <c r="B23" s="447">
        <v>218</v>
      </c>
      <c r="C23" s="449" t="s">
        <v>293</v>
      </c>
      <c r="D23" s="2181" t="s">
        <v>306</v>
      </c>
      <c r="E23" s="2186"/>
      <c r="F23" s="2186"/>
    </row>
    <row r="24" spans="2:9" s="441" customFormat="1" ht="14.25" customHeight="1">
      <c r="B24" s="450">
        <v>2181</v>
      </c>
      <c r="C24" s="451" t="s">
        <v>296</v>
      </c>
      <c r="D24" s="2181" t="s">
        <v>306</v>
      </c>
      <c r="E24" s="2186"/>
      <c r="F24" s="2186"/>
    </row>
    <row r="25" spans="2:9" s="441" customFormat="1" ht="30" customHeight="1">
      <c r="B25" s="450">
        <v>2182</v>
      </c>
      <c r="C25" s="451" t="s">
        <v>281</v>
      </c>
      <c r="D25" s="2183" t="s">
        <v>299</v>
      </c>
      <c r="E25" s="2186" t="s">
        <v>700</v>
      </c>
      <c r="F25" s="2193">
        <v>0.2</v>
      </c>
    </row>
    <row r="26" spans="2:9" s="441" customFormat="1" ht="14.25" customHeight="1">
      <c r="B26" s="455">
        <v>2183</v>
      </c>
      <c r="C26" s="456" t="s">
        <v>297</v>
      </c>
      <c r="D26" s="2189" t="s">
        <v>300</v>
      </c>
      <c r="E26" s="2190" t="s">
        <v>288</v>
      </c>
      <c r="F26" s="2191">
        <v>0.1</v>
      </c>
    </row>
    <row r="27" spans="2:9" s="441" customFormat="1" ht="14.25" customHeight="1">
      <c r="B27" s="457"/>
      <c r="C27" s="458"/>
      <c r="D27" s="2192" t="s">
        <v>282</v>
      </c>
      <c r="E27" s="2184" t="s">
        <v>699</v>
      </c>
      <c r="F27" s="2185">
        <v>0.5</v>
      </c>
    </row>
    <row r="28" spans="2:9" s="441" customFormat="1" ht="14.25" customHeight="1">
      <c r="B28" s="450">
        <v>2184</v>
      </c>
      <c r="C28" s="451" t="s">
        <v>286</v>
      </c>
      <c r="D28" s="2183" t="s">
        <v>286</v>
      </c>
      <c r="E28" s="2186" t="s">
        <v>288</v>
      </c>
      <c r="F28" s="2193">
        <v>0.1</v>
      </c>
    </row>
    <row r="29" spans="2:9" s="441" customFormat="1" ht="14.25">
      <c r="B29" s="450">
        <v>2185</v>
      </c>
      <c r="C29" s="451" t="s">
        <v>298</v>
      </c>
      <c r="D29" s="2181" t="s">
        <v>306</v>
      </c>
      <c r="E29" s="2186"/>
      <c r="F29" s="2187"/>
    </row>
    <row r="30" spans="2:9" ht="14.25" customHeight="1">
      <c r="B30" s="459">
        <v>2188</v>
      </c>
      <c r="C30" s="460" t="s">
        <v>293</v>
      </c>
      <c r="D30" s="2181" t="s">
        <v>306</v>
      </c>
      <c r="E30" s="2186"/>
      <c r="F30" s="2187"/>
      <c r="G30" s="461"/>
      <c r="H30" s="461"/>
      <c r="I30" s="461"/>
    </row>
    <row r="31" spans="2:9" ht="14.25">
      <c r="E31" s="462"/>
      <c r="F31" s="462"/>
    </row>
    <row r="32" spans="2:9" ht="14.25">
      <c r="E32" s="462"/>
      <c r="F32" s="462"/>
    </row>
    <row r="33" spans="3:6" ht="14.25">
      <c r="E33" s="462"/>
      <c r="F33" s="462"/>
    </row>
    <row r="34" spans="3:6" ht="14.25">
      <c r="E34" s="462"/>
      <c r="F34" s="462"/>
    </row>
    <row r="35" spans="3:6" ht="14.25">
      <c r="C35" s="463"/>
      <c r="E35" s="462"/>
      <c r="F35" s="462"/>
    </row>
    <row r="36" spans="3:6" ht="14.25">
      <c r="E36" s="462"/>
      <c r="F36" s="462"/>
    </row>
    <row r="37" spans="3:6" ht="14.25">
      <c r="E37" s="462"/>
      <c r="F37" s="462"/>
    </row>
    <row r="38" spans="3:6" ht="14.25">
      <c r="E38" s="462"/>
      <c r="F38" s="462"/>
    </row>
    <row r="39" spans="3:6" ht="14.25">
      <c r="E39" s="462"/>
      <c r="F39" s="462"/>
    </row>
    <row r="40" spans="3:6" ht="14.25">
      <c r="E40" s="462"/>
      <c r="F40" s="462"/>
    </row>
    <row r="41" spans="3:6" ht="14.25">
      <c r="E41" s="462"/>
      <c r="F41" s="462"/>
    </row>
    <row r="42" spans="3:6" ht="14.25">
      <c r="E42" s="462"/>
      <c r="F42" s="462"/>
    </row>
    <row r="43" spans="3:6" ht="14.25">
      <c r="E43" s="462"/>
      <c r="F43" s="462"/>
    </row>
    <row r="44" spans="3:6" ht="14.25">
      <c r="E44" s="462"/>
      <c r="F44" s="462"/>
    </row>
    <row r="45" spans="3:6" ht="14.25">
      <c r="E45" s="462"/>
      <c r="F45" s="462"/>
    </row>
    <row r="46" spans="3:6" ht="14.25">
      <c r="E46" s="462"/>
      <c r="F46" s="462"/>
    </row>
    <row r="47" spans="3:6" ht="14.25">
      <c r="E47" s="462"/>
      <c r="F47" s="462"/>
    </row>
    <row r="48" spans="3:6" ht="14.25">
      <c r="E48" s="462"/>
      <c r="F48" s="462"/>
    </row>
    <row r="49" spans="5:6" ht="14.25">
      <c r="E49" s="462"/>
      <c r="F49" s="462"/>
    </row>
    <row r="50" spans="5:6" ht="14.25">
      <c r="E50" s="462"/>
      <c r="F50" s="462"/>
    </row>
    <row r="51" spans="5:6" ht="14.25">
      <c r="E51" s="462"/>
      <c r="F51" s="462"/>
    </row>
    <row r="52" spans="5:6" ht="14.25">
      <c r="E52" s="462"/>
      <c r="F52" s="462"/>
    </row>
    <row r="53" spans="5:6" ht="14.25">
      <c r="E53" s="462"/>
      <c r="F53" s="462"/>
    </row>
    <row r="54" spans="5:6" ht="14.25">
      <c r="E54" s="462"/>
      <c r="F54" s="462"/>
    </row>
    <row r="55" spans="5:6" ht="14.25">
      <c r="E55" s="462"/>
      <c r="F55" s="462"/>
    </row>
    <row r="56" spans="5:6" ht="14.25">
      <c r="E56" s="462"/>
      <c r="F56" s="462"/>
    </row>
    <row r="57" spans="5:6" ht="14.25">
      <c r="E57" s="462"/>
      <c r="F57" s="462"/>
    </row>
    <row r="58" spans="5:6" ht="14.25">
      <c r="E58" s="462"/>
      <c r="F58" s="462"/>
    </row>
    <row r="59" spans="5:6" ht="14.25">
      <c r="E59" s="462"/>
      <c r="F59" s="462"/>
    </row>
    <row r="60" spans="5:6" ht="14.25">
      <c r="E60" s="462"/>
      <c r="F60" s="462"/>
    </row>
    <row r="61" spans="5:6" ht="14.25">
      <c r="E61" s="462"/>
      <c r="F61" s="462"/>
    </row>
    <row r="62" spans="5:6" ht="14.25">
      <c r="E62" s="462"/>
      <c r="F62" s="462"/>
    </row>
    <row r="63" spans="5:6" ht="14.25">
      <c r="F63" s="462"/>
    </row>
  </sheetData>
  <sheetProtection algorithmName="SHA-512" hashValue="bssjHOlRkiNc0iQXh16BBpUjAxoQUa55pqS1BLxvbO2xZEB/o6ttXwInLM4+2NA6iEkwsLLSPilBtdMnQ3bJwQ==" saltValue="pZwTRkq/8ah2WPZwrB9xfg==" spinCount="100000" sheet="1" objects="1" scenarios="1"/>
  <autoFilter ref="B8:F8"/>
  <mergeCells count="2">
    <mergeCell ref="C2:D2"/>
    <mergeCell ref="B5:F6"/>
  </mergeCells>
  <pageMargins left="0.7" right="0.7" top="0.75" bottom="0.75" header="0.3" footer="0.3"/>
  <pageSetup paperSize="9" scale="56" orientation="portrait" r:id="rId1"/>
  <colBreaks count="1" manualBreakCount="1">
    <brk id="7" max="31"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A1:X182"/>
  <sheetViews>
    <sheetView showZeros="0" view="pageBreakPreview" zoomScale="70" zoomScaleNormal="80" zoomScaleSheetLayoutView="70" workbookViewId="0">
      <selection activeCell="C16" sqref="C16"/>
    </sheetView>
  </sheetViews>
  <sheetFormatPr baseColWidth="10" defaultRowHeight="13.5"/>
  <cols>
    <col min="1" max="1" width="12.7109375" style="468" customWidth="1"/>
    <col min="2" max="2" width="88" style="468" customWidth="1"/>
    <col min="3" max="3" width="16.85546875" style="469" bestFit="1" customWidth="1"/>
    <col min="4" max="4" width="15.5703125" style="469" bestFit="1" customWidth="1"/>
    <col min="5" max="5" width="15.5703125" style="469" hidden="1" customWidth="1"/>
    <col min="6" max="6" width="15.5703125" style="469" bestFit="1" customWidth="1"/>
    <col min="7" max="7" width="15.5703125" style="469" hidden="1" customWidth="1"/>
    <col min="8" max="8" width="15.5703125" style="469" customWidth="1"/>
    <col min="9" max="9" width="15.5703125" style="469" hidden="1" customWidth="1"/>
    <col min="10" max="10" width="15.5703125" style="469" customWidth="1"/>
    <col min="11" max="11" width="15.5703125" style="469" hidden="1" customWidth="1"/>
    <col min="12" max="12" width="15.5703125" style="468" customWidth="1"/>
    <col min="13" max="13" width="15.5703125" style="468" hidden="1" customWidth="1"/>
    <col min="14" max="14" width="15.5703125" style="468" customWidth="1"/>
    <col min="15" max="15" width="15.5703125" style="468" hidden="1" customWidth="1"/>
    <col min="16" max="16" width="15.5703125" style="468" customWidth="1"/>
    <col min="17" max="17" width="15.5703125" style="468" hidden="1" customWidth="1"/>
    <col min="18" max="18" width="15.5703125" style="468" customWidth="1"/>
    <col min="19" max="19" width="15.5703125" style="468" hidden="1" customWidth="1"/>
    <col min="20" max="16384" width="11.42578125" style="468"/>
  </cols>
  <sheetData>
    <row r="1" spans="1:19" ht="14.25" thickBot="1"/>
    <row r="2" spans="1:19" ht="24.95" customHeight="1" thickBot="1">
      <c r="A2" s="470"/>
      <c r="B2" s="2195" t="s">
        <v>504</v>
      </c>
      <c r="C2" s="2196"/>
      <c r="D2" s="2197"/>
      <c r="E2" s="2194"/>
      <c r="F2" s="732"/>
      <c r="G2" s="732"/>
      <c r="H2" s="732"/>
      <c r="I2" s="732"/>
      <c r="J2" s="732"/>
      <c r="K2" s="732"/>
    </row>
    <row r="3" spans="1:19" ht="24.95" customHeight="1">
      <c r="B3" s="81"/>
      <c r="C3" s="81"/>
      <c r="D3" s="81"/>
      <c r="E3" s="81"/>
      <c r="F3" s="81"/>
      <c r="G3" s="81"/>
      <c r="H3" s="81"/>
      <c r="I3" s="81"/>
      <c r="J3" s="81"/>
      <c r="K3" s="81"/>
    </row>
    <row r="4" spans="1:19" ht="14.1" customHeight="1">
      <c r="B4" s="1859" t="s">
        <v>676</v>
      </c>
      <c r="C4" s="81"/>
      <c r="D4" s="81"/>
      <c r="E4" s="81"/>
      <c r="F4" s="81"/>
      <c r="G4" s="81"/>
      <c r="H4" s="81"/>
      <c r="I4" s="81"/>
      <c r="J4" s="81"/>
      <c r="K4" s="81"/>
    </row>
    <row r="5" spans="1:19" ht="14.1" customHeight="1">
      <c r="B5" s="1860"/>
      <c r="C5" s="81"/>
      <c r="D5" s="81"/>
      <c r="E5" s="81"/>
      <c r="F5" s="81"/>
      <c r="G5" s="81"/>
      <c r="H5" s="81"/>
      <c r="I5" s="81"/>
      <c r="J5" s="81"/>
      <c r="K5" s="81"/>
    </row>
    <row r="6" spans="1:19" ht="14.1" customHeight="1">
      <c r="B6" s="1860"/>
      <c r="C6" s="81"/>
      <c r="D6" s="81"/>
      <c r="E6" s="81"/>
      <c r="F6" s="81"/>
      <c r="G6" s="81"/>
      <c r="H6" s="81"/>
      <c r="I6" s="81"/>
      <c r="J6" s="81"/>
      <c r="K6" s="81"/>
    </row>
    <row r="7" spans="1:19" ht="14.1" customHeight="1">
      <c r="B7" s="1860"/>
      <c r="C7" s="81"/>
      <c r="D7" s="81"/>
      <c r="E7" s="81"/>
      <c r="F7" s="81"/>
      <c r="G7" s="81"/>
      <c r="H7" s="81"/>
      <c r="I7" s="81"/>
      <c r="J7" s="81"/>
      <c r="K7" s="81"/>
    </row>
    <row r="8" spans="1:19" ht="14.1" customHeight="1">
      <c r="B8" s="1860"/>
      <c r="C8" s="81"/>
      <c r="D8" s="81"/>
      <c r="E8" s="81"/>
      <c r="F8" s="81"/>
      <c r="G8" s="81"/>
      <c r="H8" s="81"/>
      <c r="I8" s="81"/>
      <c r="J8" s="81"/>
      <c r="K8" s="81"/>
    </row>
    <row r="9" spans="1:19" ht="14.1" customHeight="1">
      <c r="B9" s="1860"/>
      <c r="C9" s="81"/>
      <c r="D9" s="81"/>
      <c r="E9" s="81"/>
      <c r="F9" s="81"/>
      <c r="G9" s="81"/>
      <c r="H9" s="81"/>
      <c r="I9" s="81"/>
      <c r="J9" s="81"/>
      <c r="K9" s="81"/>
    </row>
    <row r="10" spans="1:19" ht="14.1" customHeight="1">
      <c r="B10" s="1860"/>
      <c r="C10" s="81"/>
      <c r="D10" s="81"/>
      <c r="E10" s="81"/>
      <c r="F10" s="81"/>
      <c r="G10" s="81"/>
      <c r="H10" s="81"/>
      <c r="I10" s="81"/>
      <c r="J10" s="81"/>
      <c r="K10" s="81"/>
    </row>
    <row r="11" spans="1:19" ht="14.1" customHeight="1">
      <c r="B11" s="1861"/>
      <c r="C11" s="81"/>
      <c r="D11" s="81"/>
      <c r="E11" s="81"/>
      <c r="F11" s="81"/>
      <c r="G11" s="81"/>
      <c r="H11" s="81"/>
      <c r="I11" s="81"/>
      <c r="J11" s="81"/>
      <c r="K11" s="81"/>
    </row>
    <row r="12" spans="1:19" ht="15" customHeight="1">
      <c r="B12" s="81"/>
      <c r="C12" s="81"/>
      <c r="D12" s="81"/>
      <c r="E12" s="81"/>
      <c r="F12" s="81"/>
      <c r="G12" s="81"/>
      <c r="H12" s="81"/>
      <c r="I12" s="81"/>
      <c r="J12" s="81"/>
      <c r="K12" s="81"/>
    </row>
    <row r="13" spans="1:19" ht="27.95" customHeight="1">
      <c r="B13" s="471"/>
      <c r="C13" s="663">
        <f>'Bilan financier'!$E$17+1</f>
        <v>2020</v>
      </c>
      <c r="D13" s="663">
        <f>'Bilan financier'!$E$17+2</f>
        <v>2021</v>
      </c>
      <c r="E13" s="846"/>
      <c r="F13" s="663">
        <f>'Bilan financier'!$E$17+3</f>
        <v>2022</v>
      </c>
      <c r="G13" s="846"/>
      <c r="H13" s="663">
        <f>'Bilan financier'!$E$17+4</f>
        <v>2023</v>
      </c>
      <c r="I13" s="846"/>
      <c r="J13" s="663">
        <f>'Bilan financier'!$E$17+5</f>
        <v>2024</v>
      </c>
      <c r="K13" s="846"/>
      <c r="L13" s="663">
        <f>'Bilan financier'!$E$17+6</f>
        <v>2025</v>
      </c>
      <c r="M13" s="846"/>
      <c r="N13" s="663">
        <f>'Bilan financier'!$E$17+7</f>
        <v>2026</v>
      </c>
      <c r="O13" s="846"/>
      <c r="P13" s="663">
        <f>'Bilan financier'!$E$17+8</f>
        <v>2027</v>
      </c>
      <c r="Q13" s="846"/>
      <c r="R13" s="663">
        <f>'Bilan financier'!$E$17+9</f>
        <v>2028</v>
      </c>
      <c r="S13" s="846"/>
    </row>
    <row r="14" spans="1:19" ht="30" customHeight="1">
      <c r="A14" s="472"/>
      <c r="B14" s="473" t="s">
        <v>436</v>
      </c>
      <c r="C14" s="84"/>
      <c r="D14" s="84"/>
      <c r="E14" s="847"/>
      <c r="F14" s="84"/>
      <c r="G14" s="847"/>
      <c r="H14" s="84"/>
      <c r="I14" s="847"/>
      <c r="J14" s="84"/>
      <c r="K14" s="847"/>
      <c r="L14" s="786"/>
      <c r="M14" s="850"/>
      <c r="N14" s="786"/>
      <c r="O14" s="850"/>
      <c r="P14" s="786"/>
      <c r="Q14" s="850"/>
      <c r="R14" s="786"/>
      <c r="S14" s="850"/>
    </row>
    <row r="15" spans="1:19" ht="25.5" customHeight="1">
      <c r="A15" s="474"/>
      <c r="B15" s="475" t="s">
        <v>437</v>
      </c>
      <c r="C15" s="85"/>
      <c r="D15" s="85"/>
      <c r="E15" s="848"/>
      <c r="F15" s="85"/>
      <c r="G15" s="848"/>
      <c r="H15" s="85"/>
      <c r="I15" s="848"/>
      <c r="J15" s="85"/>
      <c r="K15" s="848"/>
      <c r="L15" s="783"/>
      <c r="M15" s="851"/>
      <c r="N15" s="783"/>
      <c r="O15" s="851"/>
      <c r="P15" s="783"/>
      <c r="Q15" s="851"/>
      <c r="R15" s="783"/>
      <c r="S15" s="851"/>
    </row>
    <row r="16" spans="1:19" ht="21.95" customHeight="1">
      <c r="A16" s="474"/>
      <c r="B16" s="476" t="s">
        <v>438</v>
      </c>
      <c r="C16" s="105"/>
      <c r="D16" s="105"/>
      <c r="E16" s="849">
        <f>C16+D16</f>
        <v>0</v>
      </c>
      <c r="F16" s="105"/>
      <c r="G16" s="849">
        <f>E16+F16</f>
        <v>0</v>
      </c>
      <c r="H16" s="105"/>
      <c r="I16" s="849">
        <f>G16+H16</f>
        <v>0</v>
      </c>
      <c r="J16" s="105"/>
      <c r="K16" s="849">
        <f>I16+J16</f>
        <v>0</v>
      </c>
      <c r="L16" s="820"/>
      <c r="M16" s="852">
        <f>K16+L16</f>
        <v>0</v>
      </c>
      <c r="N16" s="821"/>
      <c r="O16" s="852">
        <f>M16+N16</f>
        <v>0</v>
      </c>
      <c r="P16" s="821"/>
      <c r="Q16" s="852">
        <f>O16+P16</f>
        <v>0</v>
      </c>
      <c r="R16" s="821"/>
      <c r="S16" s="949">
        <f>Q16+R16</f>
        <v>0</v>
      </c>
    </row>
    <row r="17" spans="1:19" ht="21.95" customHeight="1">
      <c r="A17" s="474"/>
      <c r="B17" s="83" t="s">
        <v>439</v>
      </c>
      <c r="C17" s="106"/>
      <c r="D17" s="106"/>
      <c r="E17" s="849">
        <f t="shared" ref="E17:E80" si="0">C17+D17</f>
        <v>0</v>
      </c>
      <c r="F17" s="106"/>
      <c r="G17" s="849">
        <f t="shared" ref="G17:G80" si="1">E17+F17</f>
        <v>0</v>
      </c>
      <c r="H17" s="106"/>
      <c r="I17" s="849">
        <f t="shared" ref="I17:I80" si="2">G17+H17</f>
        <v>0</v>
      </c>
      <c r="J17" s="106"/>
      <c r="K17" s="849">
        <f t="shared" ref="K17:K80" si="3">I17+J17</f>
        <v>0</v>
      </c>
      <c r="L17" s="816"/>
      <c r="M17" s="852">
        <f t="shared" ref="M17:M80" si="4">K17+L17</f>
        <v>0</v>
      </c>
      <c r="N17" s="789"/>
      <c r="O17" s="852">
        <f t="shared" ref="O17:O80" si="5">M17+N17</f>
        <v>0</v>
      </c>
      <c r="P17" s="789"/>
      <c r="Q17" s="852">
        <f t="shared" ref="Q17:Q80" si="6">O17+P17</f>
        <v>0</v>
      </c>
      <c r="R17" s="789"/>
      <c r="S17" s="949">
        <f t="shared" ref="S17:S80" si="7">Q17+R17</f>
        <v>0</v>
      </c>
    </row>
    <row r="18" spans="1:19" ht="21.95" customHeight="1">
      <c r="A18" s="474"/>
      <c r="B18" s="83" t="s">
        <v>440</v>
      </c>
      <c r="C18" s="106"/>
      <c r="D18" s="106"/>
      <c r="E18" s="849"/>
      <c r="F18" s="106"/>
      <c r="G18" s="849"/>
      <c r="H18" s="106"/>
      <c r="I18" s="849">
        <f t="shared" si="2"/>
        <v>0</v>
      </c>
      <c r="J18" s="106"/>
      <c r="K18" s="849">
        <f t="shared" si="3"/>
        <v>0</v>
      </c>
      <c r="L18" s="816"/>
      <c r="M18" s="852">
        <f t="shared" si="4"/>
        <v>0</v>
      </c>
      <c r="N18" s="789"/>
      <c r="O18" s="852">
        <f t="shared" si="5"/>
        <v>0</v>
      </c>
      <c r="P18" s="789"/>
      <c r="Q18" s="852">
        <f t="shared" si="6"/>
        <v>0</v>
      </c>
      <c r="R18" s="789"/>
      <c r="S18" s="949">
        <f t="shared" si="7"/>
        <v>0</v>
      </c>
    </row>
    <row r="19" spans="1:19" ht="21.95" customHeight="1">
      <c r="A19" s="474"/>
      <c r="B19" s="83" t="s">
        <v>441</v>
      </c>
      <c r="C19" s="107"/>
      <c r="D19" s="106"/>
      <c r="E19" s="849">
        <f t="shared" si="0"/>
        <v>0</v>
      </c>
      <c r="F19" s="106"/>
      <c r="G19" s="849">
        <f t="shared" si="1"/>
        <v>0</v>
      </c>
      <c r="H19" s="106"/>
      <c r="I19" s="849">
        <f t="shared" si="2"/>
        <v>0</v>
      </c>
      <c r="J19" s="106"/>
      <c r="K19" s="849">
        <f t="shared" si="3"/>
        <v>0</v>
      </c>
      <c r="L19" s="816"/>
      <c r="M19" s="852">
        <f t="shared" si="4"/>
        <v>0</v>
      </c>
      <c r="N19" s="789"/>
      <c r="O19" s="852">
        <f t="shared" si="5"/>
        <v>0</v>
      </c>
      <c r="P19" s="789"/>
      <c r="Q19" s="852">
        <f t="shared" si="6"/>
        <v>0</v>
      </c>
      <c r="R19" s="789"/>
      <c r="S19" s="949">
        <f t="shared" si="7"/>
        <v>0</v>
      </c>
    </row>
    <row r="20" spans="1:19" ht="21.95" customHeight="1">
      <c r="A20" s="474"/>
      <c r="B20" s="83" t="s">
        <v>88</v>
      </c>
      <c r="C20" s="107"/>
      <c r="D20" s="106"/>
      <c r="E20" s="849">
        <f t="shared" si="0"/>
        <v>0</v>
      </c>
      <c r="F20" s="106"/>
      <c r="G20" s="849">
        <f t="shared" si="1"/>
        <v>0</v>
      </c>
      <c r="H20" s="106"/>
      <c r="I20" s="849">
        <f t="shared" si="2"/>
        <v>0</v>
      </c>
      <c r="J20" s="106"/>
      <c r="K20" s="849">
        <f t="shared" si="3"/>
        <v>0</v>
      </c>
      <c r="L20" s="816"/>
      <c r="M20" s="852">
        <f t="shared" si="4"/>
        <v>0</v>
      </c>
      <c r="N20" s="789"/>
      <c r="O20" s="852">
        <f t="shared" si="5"/>
        <v>0</v>
      </c>
      <c r="P20" s="789"/>
      <c r="Q20" s="852">
        <f t="shared" si="6"/>
        <v>0</v>
      </c>
      <c r="R20" s="789"/>
      <c r="S20" s="949">
        <f t="shared" si="7"/>
        <v>0</v>
      </c>
    </row>
    <row r="21" spans="1:19" ht="21.95" customHeight="1">
      <c r="A21" s="474"/>
      <c r="B21" s="83" t="s">
        <v>442</v>
      </c>
      <c r="C21" s="107"/>
      <c r="D21" s="106"/>
      <c r="E21" s="849">
        <f t="shared" si="0"/>
        <v>0</v>
      </c>
      <c r="F21" s="106"/>
      <c r="G21" s="849">
        <f t="shared" si="1"/>
        <v>0</v>
      </c>
      <c r="H21" s="106"/>
      <c r="I21" s="849">
        <f t="shared" si="2"/>
        <v>0</v>
      </c>
      <c r="J21" s="106"/>
      <c r="K21" s="849">
        <f t="shared" si="3"/>
        <v>0</v>
      </c>
      <c r="L21" s="816"/>
      <c r="M21" s="852">
        <f t="shared" si="4"/>
        <v>0</v>
      </c>
      <c r="N21" s="789"/>
      <c r="O21" s="852">
        <f t="shared" si="5"/>
        <v>0</v>
      </c>
      <c r="P21" s="789"/>
      <c r="Q21" s="852">
        <f t="shared" si="6"/>
        <v>0</v>
      </c>
      <c r="R21" s="789"/>
      <c r="S21" s="949">
        <f t="shared" si="7"/>
        <v>0</v>
      </c>
    </row>
    <row r="22" spans="1:19" ht="21.95" customHeight="1">
      <c r="A22" s="474"/>
      <c r="B22" s="476" t="s">
        <v>443</v>
      </c>
      <c r="C22" s="106"/>
      <c r="D22" s="106"/>
      <c r="E22" s="849">
        <f t="shared" si="0"/>
        <v>0</v>
      </c>
      <c r="F22" s="106"/>
      <c r="G22" s="849">
        <f t="shared" si="1"/>
        <v>0</v>
      </c>
      <c r="H22" s="106"/>
      <c r="I22" s="849">
        <f t="shared" si="2"/>
        <v>0</v>
      </c>
      <c r="J22" s="106"/>
      <c r="K22" s="849">
        <f t="shared" si="3"/>
        <v>0</v>
      </c>
      <c r="L22" s="816"/>
      <c r="M22" s="852">
        <f t="shared" si="4"/>
        <v>0</v>
      </c>
      <c r="N22" s="789"/>
      <c r="O22" s="852">
        <f t="shared" si="5"/>
        <v>0</v>
      </c>
      <c r="P22" s="789"/>
      <c r="Q22" s="852">
        <f t="shared" si="6"/>
        <v>0</v>
      </c>
      <c r="R22" s="789"/>
      <c r="S22" s="949">
        <f t="shared" si="7"/>
        <v>0</v>
      </c>
    </row>
    <row r="23" spans="1:19" ht="21.95" customHeight="1">
      <c r="A23" s="474"/>
      <c r="B23" s="83" t="s">
        <v>855</v>
      </c>
      <c r="C23" s="106">
        <v>0</v>
      </c>
      <c r="D23" s="106">
        <v>0</v>
      </c>
      <c r="E23" s="849">
        <f t="shared" si="0"/>
        <v>0</v>
      </c>
      <c r="F23" s="106">
        <v>0</v>
      </c>
      <c r="G23" s="849">
        <f t="shared" si="1"/>
        <v>0</v>
      </c>
      <c r="H23" s="106"/>
      <c r="I23" s="849">
        <f t="shared" si="2"/>
        <v>0</v>
      </c>
      <c r="J23" s="106"/>
      <c r="K23" s="849">
        <f t="shared" si="3"/>
        <v>0</v>
      </c>
      <c r="L23" s="816"/>
      <c r="M23" s="852">
        <f t="shared" si="4"/>
        <v>0</v>
      </c>
      <c r="N23" s="789"/>
      <c r="O23" s="852">
        <f t="shared" si="5"/>
        <v>0</v>
      </c>
      <c r="P23" s="789"/>
      <c r="Q23" s="852">
        <f t="shared" si="6"/>
        <v>0</v>
      </c>
      <c r="R23" s="789"/>
      <c r="S23" s="949">
        <f t="shared" si="7"/>
        <v>0</v>
      </c>
    </row>
    <row r="24" spans="1:19" ht="21.75" customHeight="1">
      <c r="A24" s="474"/>
      <c r="B24" s="83" t="s">
        <v>444</v>
      </c>
      <c r="C24" s="106">
        <v>0</v>
      </c>
      <c r="D24" s="106">
        <v>0</v>
      </c>
      <c r="E24" s="849">
        <f t="shared" si="0"/>
        <v>0</v>
      </c>
      <c r="F24" s="106">
        <v>0</v>
      </c>
      <c r="G24" s="849">
        <f t="shared" si="1"/>
        <v>0</v>
      </c>
      <c r="H24" s="106"/>
      <c r="I24" s="849">
        <f t="shared" si="2"/>
        <v>0</v>
      </c>
      <c r="J24" s="106"/>
      <c r="K24" s="849">
        <f t="shared" si="3"/>
        <v>0</v>
      </c>
      <c r="L24" s="816"/>
      <c r="M24" s="852">
        <f t="shared" si="4"/>
        <v>0</v>
      </c>
      <c r="N24" s="789"/>
      <c r="O24" s="852">
        <f t="shared" si="5"/>
        <v>0</v>
      </c>
      <c r="P24" s="789"/>
      <c r="Q24" s="852">
        <f t="shared" si="6"/>
        <v>0</v>
      </c>
      <c r="R24" s="789"/>
      <c r="S24" s="949">
        <f t="shared" si="7"/>
        <v>0</v>
      </c>
    </row>
    <row r="25" spans="1:19" ht="21.95" customHeight="1">
      <c r="A25" s="474"/>
      <c r="B25" s="83" t="str">
        <f>"Amortissements des actifs acquis avant le démarrage du plan"</f>
        <v>Amortissements des actifs acquis avant le démarrage du plan</v>
      </c>
      <c r="C25" s="106"/>
      <c r="D25" s="106"/>
      <c r="E25" s="849">
        <f t="shared" si="0"/>
        <v>0</v>
      </c>
      <c r="F25" s="106"/>
      <c r="G25" s="849">
        <f t="shared" si="1"/>
        <v>0</v>
      </c>
      <c r="H25" s="106"/>
      <c r="I25" s="849">
        <f t="shared" si="2"/>
        <v>0</v>
      </c>
      <c r="J25" s="106"/>
      <c r="K25" s="849">
        <f t="shared" si="3"/>
        <v>0</v>
      </c>
      <c r="L25" s="817"/>
      <c r="M25" s="852">
        <f t="shared" si="4"/>
        <v>0</v>
      </c>
      <c r="N25" s="803"/>
      <c r="O25" s="852">
        <f t="shared" si="5"/>
        <v>0</v>
      </c>
      <c r="P25" s="803"/>
      <c r="Q25" s="852">
        <f t="shared" si="6"/>
        <v>0</v>
      </c>
      <c r="R25" s="803"/>
      <c r="S25" s="949">
        <f t="shared" si="7"/>
        <v>0</v>
      </c>
    </row>
    <row r="26" spans="1:19" ht="20.25" customHeight="1">
      <c r="A26" s="474"/>
      <c r="B26" s="2198" t="s">
        <v>445</v>
      </c>
      <c r="C26" s="2208">
        <f>SUM($C$27:$C$30)</f>
        <v>0</v>
      </c>
      <c r="D26" s="2208">
        <f>SUM($D$27:$D$30)</f>
        <v>0</v>
      </c>
      <c r="E26" s="2209">
        <f t="shared" si="0"/>
        <v>0</v>
      </c>
      <c r="F26" s="2208">
        <f>SUM($F$27:$F$30)</f>
        <v>0</v>
      </c>
      <c r="G26" s="2209">
        <f t="shared" si="1"/>
        <v>0</v>
      </c>
      <c r="H26" s="2208">
        <f>SUM($H$27:$H$30)</f>
        <v>0</v>
      </c>
      <c r="I26" s="2209">
        <f t="shared" si="2"/>
        <v>0</v>
      </c>
      <c r="J26" s="2208">
        <f>SUM($J$27:$J$30)</f>
        <v>0</v>
      </c>
      <c r="K26" s="2209">
        <f t="shared" si="3"/>
        <v>0</v>
      </c>
      <c r="L26" s="2210">
        <f>SUM($L$27:$L$30)</f>
        <v>0</v>
      </c>
      <c r="M26" s="2211">
        <f t="shared" si="4"/>
        <v>0</v>
      </c>
      <c r="N26" s="2210">
        <f>SUM($N$27:$N$30)</f>
        <v>0</v>
      </c>
      <c r="O26" s="2211">
        <f t="shared" si="5"/>
        <v>0</v>
      </c>
      <c r="P26" s="2210">
        <f>SUM($P$27:$P$30)</f>
        <v>0</v>
      </c>
      <c r="Q26" s="2211">
        <f t="shared" si="6"/>
        <v>0</v>
      </c>
      <c r="R26" s="2210">
        <f>SUM($R$27:$R$30)</f>
        <v>0</v>
      </c>
      <c r="S26" s="949">
        <f t="shared" si="7"/>
        <v>0</v>
      </c>
    </row>
    <row r="27" spans="1:19" ht="14.1" customHeight="1">
      <c r="A27" s="474"/>
      <c r="B27" s="2199" t="s">
        <v>446</v>
      </c>
      <c r="C27" s="2202">
        <f>PPI!T538</f>
        <v>0</v>
      </c>
      <c r="D27" s="2202">
        <f>PPI!U538</f>
        <v>0</v>
      </c>
      <c r="E27" s="2200">
        <f t="shared" si="0"/>
        <v>0</v>
      </c>
      <c r="F27" s="2202">
        <f>PPI!V538</f>
        <v>0</v>
      </c>
      <c r="G27" s="2200">
        <f t="shared" si="1"/>
        <v>0</v>
      </c>
      <c r="H27" s="2202">
        <f>PPI!W538</f>
        <v>0</v>
      </c>
      <c r="I27" s="2200">
        <f t="shared" si="2"/>
        <v>0</v>
      </c>
      <c r="J27" s="2202">
        <f>PPI!X538</f>
        <v>0</v>
      </c>
      <c r="K27" s="2200">
        <f t="shared" si="3"/>
        <v>0</v>
      </c>
      <c r="L27" s="2202">
        <f>PPI!Y538</f>
        <v>0</v>
      </c>
      <c r="M27" s="2201">
        <f t="shared" si="4"/>
        <v>0</v>
      </c>
      <c r="N27" s="2202">
        <f>PPI!Z538</f>
        <v>0</v>
      </c>
      <c r="O27" s="2201">
        <f t="shared" si="5"/>
        <v>0</v>
      </c>
      <c r="P27" s="2202">
        <f>PPI!AA538</f>
        <v>0</v>
      </c>
      <c r="Q27" s="2201">
        <f t="shared" si="6"/>
        <v>0</v>
      </c>
      <c r="R27" s="2202">
        <f>PPI!AB538</f>
        <v>0</v>
      </c>
      <c r="S27" s="949">
        <f t="shared" si="7"/>
        <v>0</v>
      </c>
    </row>
    <row r="28" spans="1:19" ht="14.1" customHeight="1">
      <c r="A28" s="474"/>
      <c r="B28" s="2199" t="s">
        <v>447</v>
      </c>
      <c r="C28" s="2202">
        <f>PPI!T539</f>
        <v>0</v>
      </c>
      <c r="D28" s="2202">
        <f>PPI!U539</f>
        <v>0</v>
      </c>
      <c r="E28" s="2200">
        <f t="shared" si="0"/>
        <v>0</v>
      </c>
      <c r="F28" s="2202">
        <f>PPI!V539</f>
        <v>0</v>
      </c>
      <c r="G28" s="2200">
        <f>E28+F28</f>
        <v>0</v>
      </c>
      <c r="H28" s="2202">
        <f>PPI!W539</f>
        <v>0</v>
      </c>
      <c r="I28" s="2200">
        <f t="shared" si="2"/>
        <v>0</v>
      </c>
      <c r="J28" s="2202">
        <f>PPI!X539</f>
        <v>0</v>
      </c>
      <c r="K28" s="2200">
        <f t="shared" si="3"/>
        <v>0</v>
      </c>
      <c r="L28" s="2202">
        <f>PPI!Y539</f>
        <v>0</v>
      </c>
      <c r="M28" s="2201">
        <f t="shared" si="4"/>
        <v>0</v>
      </c>
      <c r="N28" s="2202">
        <f>PPI!Z539</f>
        <v>0</v>
      </c>
      <c r="O28" s="2201">
        <f t="shared" si="5"/>
        <v>0</v>
      </c>
      <c r="P28" s="2202">
        <f>PPI!AA539</f>
        <v>0</v>
      </c>
      <c r="Q28" s="2201">
        <f t="shared" si="6"/>
        <v>0</v>
      </c>
      <c r="R28" s="2202">
        <f>PPI!AB539</f>
        <v>0</v>
      </c>
      <c r="S28" s="949">
        <f t="shared" si="7"/>
        <v>0</v>
      </c>
    </row>
    <row r="29" spans="1:19" ht="14.1" customHeight="1">
      <c r="A29" s="474"/>
      <c r="B29" s="2199" t="s">
        <v>448</v>
      </c>
      <c r="C29" s="2202">
        <f>PPI!T540</f>
        <v>0</v>
      </c>
      <c r="D29" s="2202">
        <f>PPI!U540</f>
        <v>0</v>
      </c>
      <c r="E29" s="2200">
        <f t="shared" si="0"/>
        <v>0</v>
      </c>
      <c r="F29" s="2202">
        <f>PPI!V540</f>
        <v>0</v>
      </c>
      <c r="G29" s="2200">
        <f t="shared" si="1"/>
        <v>0</v>
      </c>
      <c r="H29" s="2202">
        <f>PPI!W540</f>
        <v>0</v>
      </c>
      <c r="I29" s="2200">
        <f t="shared" si="2"/>
        <v>0</v>
      </c>
      <c r="J29" s="2202">
        <f>PPI!X540</f>
        <v>0</v>
      </c>
      <c r="K29" s="2200">
        <f t="shared" si="3"/>
        <v>0</v>
      </c>
      <c r="L29" s="2202">
        <f>PPI!Y540</f>
        <v>0</v>
      </c>
      <c r="M29" s="2201">
        <f t="shared" si="4"/>
        <v>0</v>
      </c>
      <c r="N29" s="2202">
        <f>PPI!Z540</f>
        <v>0</v>
      </c>
      <c r="O29" s="2201">
        <f t="shared" si="5"/>
        <v>0</v>
      </c>
      <c r="P29" s="2202">
        <f>PPI!AA540</f>
        <v>0</v>
      </c>
      <c r="Q29" s="2201">
        <f t="shared" si="6"/>
        <v>0</v>
      </c>
      <c r="R29" s="2202">
        <f>PPI!AB540</f>
        <v>0</v>
      </c>
      <c r="S29" s="949">
        <f t="shared" si="7"/>
        <v>0</v>
      </c>
    </row>
    <row r="30" spans="1:19" ht="14.1" customHeight="1">
      <c r="A30" s="474"/>
      <c r="B30" s="2199" t="s">
        <v>449</v>
      </c>
      <c r="C30" s="2202">
        <f>PPI!T541</f>
        <v>0</v>
      </c>
      <c r="D30" s="2202">
        <f>PPI!U541</f>
        <v>0</v>
      </c>
      <c r="E30" s="2200">
        <f t="shared" si="0"/>
        <v>0</v>
      </c>
      <c r="F30" s="2202">
        <f>PPI!V541</f>
        <v>0</v>
      </c>
      <c r="G30" s="2200">
        <f t="shared" si="1"/>
        <v>0</v>
      </c>
      <c r="H30" s="2202">
        <f>PPI!W541</f>
        <v>0</v>
      </c>
      <c r="I30" s="2200">
        <f t="shared" si="2"/>
        <v>0</v>
      </c>
      <c r="J30" s="2202">
        <f>PPI!X541</f>
        <v>0</v>
      </c>
      <c r="K30" s="2200">
        <f t="shared" si="3"/>
        <v>0</v>
      </c>
      <c r="L30" s="2202">
        <f>PPI!Y541</f>
        <v>0</v>
      </c>
      <c r="M30" s="2201">
        <f t="shared" si="4"/>
        <v>0</v>
      </c>
      <c r="N30" s="2202">
        <f>PPI!Z541</f>
        <v>0</v>
      </c>
      <c r="O30" s="2201">
        <f t="shared" si="5"/>
        <v>0</v>
      </c>
      <c r="P30" s="2202">
        <f>PPI!AA541</f>
        <v>0</v>
      </c>
      <c r="Q30" s="2201">
        <f t="shared" si="6"/>
        <v>0</v>
      </c>
      <c r="R30" s="2202">
        <f>PPI!AB541</f>
        <v>0</v>
      </c>
      <c r="S30" s="949">
        <f t="shared" si="7"/>
        <v>0</v>
      </c>
    </row>
    <row r="31" spans="1:19" ht="21.95" customHeight="1">
      <c r="A31" s="474"/>
      <c r="B31" s="83" t="s">
        <v>450</v>
      </c>
      <c r="C31" s="105"/>
      <c r="D31" s="105"/>
      <c r="E31" s="849">
        <f t="shared" si="0"/>
        <v>0</v>
      </c>
      <c r="F31" s="105"/>
      <c r="G31" s="849">
        <f t="shared" si="1"/>
        <v>0</v>
      </c>
      <c r="H31" s="105"/>
      <c r="I31" s="849">
        <f t="shared" si="2"/>
        <v>0</v>
      </c>
      <c r="J31" s="105"/>
      <c r="K31" s="849">
        <f t="shared" si="3"/>
        <v>0</v>
      </c>
      <c r="L31" s="818"/>
      <c r="M31" s="852">
        <f t="shared" si="4"/>
        <v>0</v>
      </c>
      <c r="N31" s="818"/>
      <c r="O31" s="852">
        <f t="shared" si="5"/>
        <v>0</v>
      </c>
      <c r="P31" s="818"/>
      <c r="Q31" s="852">
        <f t="shared" si="6"/>
        <v>0</v>
      </c>
      <c r="R31" s="818"/>
      <c r="S31" s="949">
        <f t="shared" si="7"/>
        <v>0</v>
      </c>
    </row>
    <row r="32" spans="1:19" ht="23.1" customHeight="1">
      <c r="A32" s="474"/>
      <c r="B32" s="477" t="s">
        <v>86</v>
      </c>
      <c r="C32" s="108"/>
      <c r="D32" s="108"/>
      <c r="E32" s="849">
        <f t="shared" si="0"/>
        <v>0</v>
      </c>
      <c r="F32" s="108"/>
      <c r="G32" s="849">
        <f t="shared" si="1"/>
        <v>0</v>
      </c>
      <c r="H32" s="108"/>
      <c r="I32" s="849">
        <f t="shared" si="2"/>
        <v>0</v>
      </c>
      <c r="J32" s="108"/>
      <c r="K32" s="849">
        <f t="shared" si="3"/>
        <v>0</v>
      </c>
      <c r="L32" s="819"/>
      <c r="M32" s="852">
        <f t="shared" si="4"/>
        <v>0</v>
      </c>
      <c r="N32" s="819"/>
      <c r="O32" s="852">
        <f t="shared" si="5"/>
        <v>0</v>
      </c>
      <c r="P32" s="819"/>
      <c r="Q32" s="852">
        <f t="shared" si="6"/>
        <v>0</v>
      </c>
      <c r="R32" s="819"/>
      <c r="S32" s="949">
        <f t="shared" si="7"/>
        <v>0</v>
      </c>
    </row>
    <row r="33" spans="1:24" s="950" customFormat="1" ht="20.100000000000001" customHeight="1">
      <c r="A33" s="619"/>
      <c r="B33" s="478" t="s">
        <v>587</v>
      </c>
      <c r="C33" s="102">
        <f>$C$16+$C$17+$C$18+$C$19+$C$20+$C$21+$C$22+$C$23+$C$24+$C$25+$C$26+$C$31+$C$32</f>
        <v>0</v>
      </c>
      <c r="D33" s="102">
        <f>$D$16+$D$17+$D$18+$D$19+$D$20+$D$21+$D$22+$D$23+$D$24+$D$25+$D$26+$D$31+$D$32</f>
        <v>0</v>
      </c>
      <c r="E33" s="948">
        <f t="shared" si="0"/>
        <v>0</v>
      </c>
      <c r="F33" s="102">
        <f>$F$16+$F$17+$F$18+$F$19+$F$20+$F$21+$F$22+$F$23+$F$24+$F$25+$F$26+$F$31+$F$32</f>
        <v>0</v>
      </c>
      <c r="G33" s="948">
        <f t="shared" si="1"/>
        <v>0</v>
      </c>
      <c r="H33" s="102">
        <f>$H$16+$H$17+$H$18+$H$19+$H$20+$H$21+$H$22+$H$23+$H$24+$H$25+$H$26+$H$31+$H$32</f>
        <v>0</v>
      </c>
      <c r="I33" s="948">
        <f t="shared" si="2"/>
        <v>0</v>
      </c>
      <c r="J33" s="102">
        <f>$J$16+$J$17+$J$18+$J$19+$J$20+$J$21+$J$22+$J$23+$J$24+$J$25+$J$26+$J$31+$J$32</f>
        <v>0</v>
      </c>
      <c r="K33" s="948">
        <f t="shared" si="3"/>
        <v>0</v>
      </c>
      <c r="L33" s="102">
        <f>$L$16+$L$17+$L$18+$L$19+$L$20+$L$21+$L$22+$L$23+$L$24+$L$25+$L$26+$L$31+$L$32</f>
        <v>0</v>
      </c>
      <c r="M33" s="949">
        <f t="shared" si="4"/>
        <v>0</v>
      </c>
      <c r="N33" s="102">
        <f>$N$16+$N$17+$N$18+$N$19+$N$20+$N$21+$N$22+$N$23+$N$24+$N$25+$N$26+$N$31+$N$32</f>
        <v>0</v>
      </c>
      <c r="O33" s="949">
        <f t="shared" si="5"/>
        <v>0</v>
      </c>
      <c r="P33" s="102">
        <f>$P$16+$P$17+$P$18+$P$19+$P$20+$P$21+$P$22+$P$23+$P$24+$P$25+$P$26+$P$31+$P$32</f>
        <v>0</v>
      </c>
      <c r="Q33" s="949">
        <f t="shared" si="6"/>
        <v>0</v>
      </c>
      <c r="R33" s="102">
        <f>$R$16+$R$17+$R$18+$R$19+$R$20+$R$21+$R$22+$R$23+$R$24+$R$25+$R$26+$R$31+$R$32</f>
        <v>0</v>
      </c>
      <c r="S33" s="949">
        <f t="shared" si="7"/>
        <v>0</v>
      </c>
      <c r="U33" s="1059"/>
      <c r="V33" s="1059"/>
      <c r="W33" s="1059"/>
      <c r="X33" s="1059"/>
    </row>
    <row r="34" spans="1:24" ht="24.75" customHeight="1">
      <c r="A34" s="474"/>
      <c r="B34" s="479" t="s">
        <v>451</v>
      </c>
      <c r="C34" s="86"/>
      <c r="D34" s="86"/>
      <c r="E34" s="948">
        <f t="shared" si="0"/>
        <v>0</v>
      </c>
      <c r="F34" s="86"/>
      <c r="G34" s="948">
        <f t="shared" si="1"/>
        <v>0</v>
      </c>
      <c r="H34" s="86"/>
      <c r="I34" s="948">
        <f t="shared" si="2"/>
        <v>0</v>
      </c>
      <c r="J34" s="86"/>
      <c r="K34" s="948">
        <f t="shared" si="3"/>
        <v>0</v>
      </c>
      <c r="L34" s="809"/>
      <c r="M34" s="949">
        <f t="shared" si="4"/>
        <v>0</v>
      </c>
      <c r="N34" s="809"/>
      <c r="O34" s="949">
        <f t="shared" si="5"/>
        <v>0</v>
      </c>
      <c r="P34" s="809"/>
      <c r="Q34" s="949">
        <f t="shared" si="6"/>
        <v>0</v>
      </c>
      <c r="R34" s="809"/>
      <c r="S34" s="949">
        <f t="shared" si="7"/>
        <v>0</v>
      </c>
      <c r="U34" s="1059"/>
      <c r="V34" s="1059"/>
      <c r="W34" s="1059"/>
    </row>
    <row r="35" spans="1:24" ht="21.95" customHeight="1">
      <c r="A35" s="474"/>
      <c r="B35" s="83" t="s">
        <v>452</v>
      </c>
      <c r="C35" s="106"/>
      <c r="D35" s="106"/>
      <c r="E35" s="849">
        <f t="shared" si="0"/>
        <v>0</v>
      </c>
      <c r="F35" s="106"/>
      <c r="G35" s="849">
        <f t="shared" si="1"/>
        <v>0</v>
      </c>
      <c r="H35" s="106"/>
      <c r="I35" s="849">
        <f t="shared" si="2"/>
        <v>0</v>
      </c>
      <c r="J35" s="106"/>
      <c r="K35" s="849">
        <f t="shared" si="3"/>
        <v>0</v>
      </c>
      <c r="L35" s="804"/>
      <c r="M35" s="852">
        <f t="shared" si="4"/>
        <v>0</v>
      </c>
      <c r="N35" s="804"/>
      <c r="O35" s="852">
        <f t="shared" si="5"/>
        <v>0</v>
      </c>
      <c r="P35" s="804"/>
      <c r="Q35" s="852">
        <f t="shared" si="6"/>
        <v>0</v>
      </c>
      <c r="R35" s="804"/>
      <c r="S35" s="949">
        <f t="shared" si="7"/>
        <v>0</v>
      </c>
    </row>
    <row r="36" spans="1:24" ht="21.95" customHeight="1">
      <c r="A36" s="474"/>
      <c r="B36" s="83" t="s">
        <v>453</v>
      </c>
      <c r="C36" s="106"/>
      <c r="D36" s="106"/>
      <c r="E36" s="849">
        <f t="shared" si="0"/>
        <v>0</v>
      </c>
      <c r="F36" s="106"/>
      <c r="G36" s="849">
        <f t="shared" si="1"/>
        <v>0</v>
      </c>
      <c r="H36" s="106"/>
      <c r="I36" s="849">
        <f t="shared" si="2"/>
        <v>0</v>
      </c>
      <c r="J36" s="106"/>
      <c r="K36" s="849">
        <f t="shared" si="3"/>
        <v>0</v>
      </c>
      <c r="L36" s="804"/>
      <c r="M36" s="852">
        <f t="shared" si="4"/>
        <v>0</v>
      </c>
      <c r="N36" s="804"/>
      <c r="O36" s="852">
        <f t="shared" si="5"/>
        <v>0</v>
      </c>
      <c r="P36" s="804"/>
      <c r="Q36" s="852">
        <f t="shared" si="6"/>
        <v>0</v>
      </c>
      <c r="R36" s="804"/>
      <c r="S36" s="949">
        <f t="shared" si="7"/>
        <v>0</v>
      </c>
    </row>
    <row r="37" spans="1:24" ht="21.95" customHeight="1">
      <c r="A37" s="474"/>
      <c r="B37" s="83" t="s">
        <v>454</v>
      </c>
      <c r="C37" s="106"/>
      <c r="D37" s="106"/>
      <c r="E37" s="849">
        <f t="shared" si="0"/>
        <v>0</v>
      </c>
      <c r="F37" s="106"/>
      <c r="G37" s="849">
        <f t="shared" si="1"/>
        <v>0</v>
      </c>
      <c r="H37" s="106"/>
      <c r="I37" s="849">
        <f t="shared" si="2"/>
        <v>0</v>
      </c>
      <c r="J37" s="106"/>
      <c r="K37" s="849">
        <f t="shared" si="3"/>
        <v>0</v>
      </c>
      <c r="L37" s="804"/>
      <c r="M37" s="852">
        <f t="shared" si="4"/>
        <v>0</v>
      </c>
      <c r="N37" s="804"/>
      <c r="O37" s="852">
        <f t="shared" si="5"/>
        <v>0</v>
      </c>
      <c r="P37" s="804"/>
      <c r="Q37" s="852">
        <f t="shared" si="6"/>
        <v>0</v>
      </c>
      <c r="R37" s="804"/>
      <c r="S37" s="949">
        <f t="shared" si="7"/>
        <v>0</v>
      </c>
    </row>
    <row r="38" spans="1:24" ht="21.95" customHeight="1">
      <c r="A38" s="474"/>
      <c r="B38" s="83" t="s">
        <v>455</v>
      </c>
      <c r="C38" s="784"/>
      <c r="D38" s="784"/>
      <c r="E38" s="849">
        <f t="shared" si="0"/>
        <v>0</v>
      </c>
      <c r="F38" s="784"/>
      <c r="G38" s="849">
        <f t="shared" si="1"/>
        <v>0</v>
      </c>
      <c r="H38" s="784"/>
      <c r="I38" s="849">
        <f t="shared" si="2"/>
        <v>0</v>
      </c>
      <c r="J38" s="784"/>
      <c r="K38" s="849">
        <f t="shared" si="3"/>
        <v>0</v>
      </c>
      <c r="L38" s="814"/>
      <c r="M38" s="852">
        <f t="shared" si="4"/>
        <v>0</v>
      </c>
      <c r="N38" s="814"/>
      <c r="O38" s="852">
        <f t="shared" si="5"/>
        <v>0</v>
      </c>
      <c r="P38" s="814"/>
      <c r="Q38" s="852">
        <f t="shared" si="6"/>
        <v>0</v>
      </c>
      <c r="R38" s="814"/>
      <c r="S38" s="949">
        <f t="shared" si="7"/>
        <v>0</v>
      </c>
    </row>
    <row r="39" spans="1:24" ht="21.95" customHeight="1">
      <c r="A39" s="474"/>
      <c r="B39" s="2198" t="s">
        <v>456</v>
      </c>
      <c r="C39" s="2203"/>
      <c r="D39" s="2203"/>
      <c r="E39" s="2204">
        <f t="shared" si="0"/>
        <v>0</v>
      </c>
      <c r="F39" s="2203"/>
      <c r="G39" s="2204">
        <f t="shared" si="1"/>
        <v>0</v>
      </c>
      <c r="H39" s="2203"/>
      <c r="I39" s="2204">
        <f t="shared" si="2"/>
        <v>0</v>
      </c>
      <c r="J39" s="2203"/>
      <c r="K39" s="2204">
        <f t="shared" si="3"/>
        <v>0</v>
      </c>
      <c r="L39" s="2205"/>
      <c r="M39" s="2206">
        <f t="shared" si="4"/>
        <v>0</v>
      </c>
      <c r="N39" s="2205"/>
      <c r="O39" s="2206">
        <f t="shared" si="5"/>
        <v>0</v>
      </c>
      <c r="P39" s="2205"/>
      <c r="Q39" s="2206">
        <f t="shared" si="6"/>
        <v>0</v>
      </c>
      <c r="R39" s="2205"/>
      <c r="S39" s="949">
        <f t="shared" si="7"/>
        <v>0</v>
      </c>
    </row>
    <row r="40" spans="1:24" ht="21.95" customHeight="1">
      <c r="A40" s="474"/>
      <c r="B40" s="2198" t="s">
        <v>457</v>
      </c>
      <c r="C40" s="2207">
        <f t="shared" ref="C40:R40" si="8">SUM(C$41:C$44)</f>
        <v>0</v>
      </c>
      <c r="D40" s="2207">
        <f t="shared" si="8"/>
        <v>0</v>
      </c>
      <c r="E40" s="2207">
        <f t="shared" si="8"/>
        <v>0</v>
      </c>
      <c r="F40" s="2207">
        <f t="shared" si="8"/>
        <v>0</v>
      </c>
      <c r="G40" s="2207">
        <f t="shared" si="8"/>
        <v>0</v>
      </c>
      <c r="H40" s="2207">
        <f t="shared" si="8"/>
        <v>0</v>
      </c>
      <c r="I40" s="2207">
        <f t="shared" si="8"/>
        <v>0</v>
      </c>
      <c r="J40" s="2207">
        <f t="shared" si="8"/>
        <v>0</v>
      </c>
      <c r="K40" s="2207">
        <f t="shared" si="8"/>
        <v>0</v>
      </c>
      <c r="L40" s="2207">
        <f t="shared" si="8"/>
        <v>0</v>
      </c>
      <c r="M40" s="2207">
        <f t="shared" si="8"/>
        <v>0</v>
      </c>
      <c r="N40" s="2207">
        <f t="shared" si="8"/>
        <v>0</v>
      </c>
      <c r="O40" s="2207">
        <f t="shared" si="8"/>
        <v>0</v>
      </c>
      <c r="P40" s="2207">
        <f t="shared" si="8"/>
        <v>0</v>
      </c>
      <c r="Q40" s="2207">
        <f t="shared" si="8"/>
        <v>0</v>
      </c>
      <c r="R40" s="2207">
        <f t="shared" si="8"/>
        <v>0</v>
      </c>
      <c r="S40" s="949">
        <f t="shared" si="7"/>
        <v>0</v>
      </c>
    </row>
    <row r="41" spans="1:24" ht="14.1" customHeight="1">
      <c r="A41" s="474"/>
      <c r="B41" s="2199" t="s">
        <v>289</v>
      </c>
      <c r="C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financement'!B41)</f>
        <v>0</v>
      </c>
      <c r="D41" s="2202">
        <f>SUMIFS(PPI!$H$17:$H$500,PPI!$J$17:$J$500,'Plan pluriannuel de financement'!$D$13,PPI!$D$17:$D$500,"Bâtiments avec mise en service N+1")+SUMIFS(PPI!$H$17:$H$500,PPI!$J$17:$J$500,'Plan pluriannuel de financement'!$D$13,PPI!$D$17:$D$500,"Bâtiments avec mise en service N")+SUMIFS(PPI!$H$507:$H$522,PPI!$J$507:$J$522,'Plan pluriannuel de financement'!$D$13,PPI!$D$507:$D$522,'Plan pluriannuel de financement'!B41)</f>
        <v>0</v>
      </c>
      <c r="E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financement'!D41)</f>
        <v>0</v>
      </c>
      <c r="F41" s="2202">
        <f>SUMIFS(PPI!$H$17:$H$500,PPI!$J$17:$J$500,'Plan pluriannuel de financement'!$F$13,PPI!$D$17:$D$500,"Bâtiments avec mise en service N+1")+SUMIFS(PPI!$H$17:$H$500,PPI!$J$17:$J$500,'Plan pluriannuel de financement'!$F$13,PPI!$D$17:$D$500,"Bâtiments avec mise en service N")+SUMIFS(PPI!$H$507:$H$522,PPI!$J$507:$J$522,'Plan pluriannuel de financement'!$F$13,PPI!$D$507:$D$522,'Plan pluriannuel de financement'!B41)</f>
        <v>0</v>
      </c>
      <c r="G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financement'!F41)</f>
        <v>0</v>
      </c>
      <c r="H41" s="2202">
        <f>SUMIFS(PPI!$H$17:$H$500,PPI!$J$17:$J$500,'Plan pluriannuel de financement'!$H$13,PPI!$D$17:$D$500,"Bâtiments avec mise en service N+1")+SUMIFS(PPI!$H$17:$H$500,PPI!$J$17:$J$500,'Plan pluriannuel de financement'!$H$13,PPI!$D$17:$D$500,"Bâtiments avec mise en service N")+SUMIFS(PPI!$H$507:$H$522,PPI!$J$507:$J$522,'Plan pluriannuel de financement'!$H$13,PPI!$D$507:$D$522,'Plan pluriannuel de financement'!B41)</f>
        <v>0</v>
      </c>
      <c r="I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financement'!H41)</f>
        <v>0</v>
      </c>
      <c r="J41" s="2202">
        <f>SUMIFS(PPI!$H$17:$H$500,PPI!$J$17:$J$500,'Plan pluriannuel de financement'!$J$13,PPI!$D$17:$D$500,"Bâtiments avec mise en service N+1")+SUMIFS(PPI!$H$17:$H$500,PPI!$J$17:$J$500,'Plan pluriannuel de financement'!$J$13,PPI!$D$17:$D$500,"Bâtiments avec mise en service N")+SUMIFS(PPI!$H$507:$H$522,PPI!$J$507:$J$522,'Plan pluriannuel de financement'!$J$13,PPI!$D$507:$D$522,'Plan pluriannuel de financement'!B41)</f>
        <v>0</v>
      </c>
      <c r="K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financement'!J41)</f>
        <v>0</v>
      </c>
      <c r="L41" s="2202">
        <f>SUMIFS(PPI!$H$17:$H$500,PPI!$J$17:$J$500,'Plan pluriannuel de financement'!$L$13,PPI!$D$17:$D$500,"Bâtiments avec mise en service N+1")+SUMIFS(PPI!$H$17:$H$500,PPI!$J$17:$J$500,'Plan pluriannuel de financement'!$L$13,PPI!$D$17:$D$500,"Bâtiments avec mise en service N")+SUMIFS(PPI!$H$507:$H$522,PPI!$J$507:$J$522,'Plan pluriannuel de financement'!$L$13,PPI!$D$507:$D$522,'Plan pluriannuel de financement'!B41)</f>
        <v>0</v>
      </c>
      <c r="M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financement'!L41)</f>
        <v>0</v>
      </c>
      <c r="N41" s="2202">
        <f>SUMIFS(PPI!$H$17:$H$500,PPI!$J$17:$J$500,'Plan pluriannuel de financement'!$N$13,PPI!$D$17:$D$500,"Bâtiments avec mise en service N+1")+SUMIFS(PPI!$H$17:$H$500,PPI!$J$17:$J$500,'Plan pluriannuel de financement'!$N$13,PPI!$D$17:$D$500,"Bâtiments avec mise en service N")+SUMIFS(PPI!$H$507:$H$522,PPI!$J$507:$J$522,'Plan pluriannuel de financement'!$N$13,PPI!$D$507:$D$522,'Plan pluriannuel de financement'!B41)</f>
        <v>0</v>
      </c>
      <c r="O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financement'!N41)</f>
        <v>0</v>
      </c>
      <c r="P41" s="2202">
        <f>SUMIFS(PPI!$H$17:$H$500,PPI!$J$17:$J$500,'Plan pluriannuel de financement'!$P$13,PPI!$D$17:$D$500,"Bâtiments avec mise en service N+1")+SUMIFS(PPI!$H$17:$H$500,PPI!$J$17:$J$500,'Plan pluriannuel de financement'!$P$13,PPI!$D$17:$D$500,"Bâtiments avec mise en service N")+SUMIFS(PPI!$H$507:$H$522,PPI!$J$507:$J$522,'Plan pluriannuel de financement'!$P$13,PPI!$D$507:$D$522,'Plan pluriannuel de financement'!B41)</f>
        <v>0</v>
      </c>
      <c r="Q41" s="2202">
        <f>SUMIFS(PPI!$H$17:$H$500,PPI!$J$17:$J$500,'Plan pluriannuel de financement'!$C$13,PPI!$D$17:$D$500,"Bâtiments avec mise en service N+1")+SUMIFS(PPI!$H$17:$H$500,PPI!$J$17:$J$500,'Plan pluriannuel de financement'!$C$13,PPI!$D$17:$D$500,"Bâtiments avec mise en service N")+SUMIFS(PPI!$H$507:$H$522,PPI!$J$507:$J$522,'Plan pluriannuel de financement'!$C$13,PPI!$D$507:$D$522,'Plan pluriannuel de financement'!P41)</f>
        <v>0</v>
      </c>
      <c r="R41" s="2202">
        <f>SUMIFS(PPI!$H$17:$H$500,PPI!$J$17:$J$500,'Plan pluriannuel de financement'!$R$13,PPI!$D$17:$D$500,"Bâtiments avec mise en service N+1")+SUMIFS(PPI!$H$17:$H$500,PPI!$J$17:$J$500,'Plan pluriannuel de financement'!$R$13,PPI!$D$17:$D$500,"Bâtiments avec mise en service N")+SUMIFS(PPI!$H$507:$H$522,PPI!$J$507:$J$522,'Plan pluriannuel de financement'!$R$13,PPI!$D$507:$D$522,'Plan pluriannuel de financement'!B41)</f>
        <v>0</v>
      </c>
      <c r="S41" s="949">
        <f t="shared" si="7"/>
        <v>0</v>
      </c>
    </row>
    <row r="42" spans="1:24" ht="14.1" customHeight="1">
      <c r="A42" s="474"/>
      <c r="B42" s="2199" t="s">
        <v>519</v>
      </c>
      <c r="C42" s="2202">
        <f>SUMIFS(PPI!$H$17:$H$500,PPI!$J$17:$J$500,'Plan pluriannuel de financement'!$C$13,PPI!$D$17:$D$500,'Plan pluriannuel de financement'!B42)+SUMIFS(PPI!$H$507:$H$522,PPI!$J$507:$J$522,'Plan pluriannuel de financement'!$C$13,PPI!$D$507:$D$522,'Plan pluriannuel de financement'!B42)</f>
        <v>0</v>
      </c>
      <c r="D42" s="2202">
        <f>SUMIFS(PPI!$H$17:$H$500,PPI!$J$17:$J$500,'Plan pluriannuel de financement'!$D$13,PPI!$D$17:$D$500,'Plan pluriannuel de financement'!B42)+SUMIFS(PPI!$H$507:$H$522,PPI!$J$507:$J$522,'Plan pluriannuel de financement'!$D$13,PPI!$D$507:$D$522,'Plan pluriannuel de financement'!B42)</f>
        <v>0</v>
      </c>
      <c r="E42" s="2200">
        <f t="shared" si="0"/>
        <v>0</v>
      </c>
      <c r="F42" s="2202">
        <f>SUMIFS(PPI!$H$17:$H$500,PPI!$J$17:$J$500,'Plan pluriannuel de financement'!$F$13,PPI!$D$17:$D$500,'Plan pluriannuel de financement'!B42)+SUMIFS(PPI!$H$507:$H$522,PPI!$J$507:$J$522,'Plan pluriannuel de financement'!$F$13,PPI!$D$507:$D$522,'Plan pluriannuel de financement'!B42)</f>
        <v>0</v>
      </c>
      <c r="G42" s="2200">
        <f t="shared" si="1"/>
        <v>0</v>
      </c>
      <c r="H42" s="2202">
        <f>SUMIFS(PPI!$H$17:$H$500,PPI!$J$17:$J$500,'Plan pluriannuel de financement'!$H$13,PPI!$D$17:$D$500,'Plan pluriannuel de financement'!B42)+SUMIFS(PPI!$H$507:$H$522,PPI!$J$507:$J$522,'Plan pluriannuel de financement'!$H$13,PPI!$D$507:$D$522,'Plan pluriannuel de financement'!B42)</f>
        <v>0</v>
      </c>
      <c r="I42" s="2200">
        <f t="shared" si="2"/>
        <v>0</v>
      </c>
      <c r="J42" s="2202">
        <f>SUMIFS(PPI!$H$17:$H$500,PPI!$J$17:$J$500,'Plan pluriannuel de financement'!$J$13,PPI!$D$17:$D$500,'Plan pluriannuel de financement'!B42)+SUMIFS(PPI!$H$507:$H$522,PPI!$J$507:$J$522,'Plan pluriannuel de financement'!$J$13,PPI!$D$507:$D$522,'Plan pluriannuel de financement'!B42)</f>
        <v>0</v>
      </c>
      <c r="K42" s="2200">
        <f t="shared" si="3"/>
        <v>0</v>
      </c>
      <c r="L42" s="2202">
        <f>SUMIFS(PPI!$H$17:$H$500,PPI!$J$17:$J$500,'Plan pluriannuel de financement'!$L$13,PPI!$D$17:$D$500,'Plan pluriannuel de financement'!B42)+SUMIFS(PPI!$H$507:$H$522,PPI!$J$507:$J$522,'Plan pluriannuel de financement'!$L$13,PPI!$D$507:$D$522,'Plan pluriannuel de financement'!B42)</f>
        <v>0</v>
      </c>
      <c r="M42" s="2201">
        <f t="shared" si="4"/>
        <v>0</v>
      </c>
      <c r="N42" s="2202">
        <f>SUMIFS(PPI!$H$17:$H$500,PPI!$J$17:$J$500,'Plan pluriannuel de financement'!$N$13,PPI!$D$17:$D$500,'Plan pluriannuel de financement'!B42)+SUMIFS(PPI!$H$507:$H$522,PPI!$J$507:$J$522,'Plan pluriannuel de financement'!$N$13,PPI!$D$507:$D$522,'Plan pluriannuel de financement'!B42)</f>
        <v>0</v>
      </c>
      <c r="O42" s="2201">
        <f t="shared" si="5"/>
        <v>0</v>
      </c>
      <c r="P42" s="2202">
        <f>SUMIFS(PPI!$H$17:$H$500,PPI!$J$17:$J$500,'Plan pluriannuel de financement'!$P$13,PPI!$D$17:$D$500,'Plan pluriannuel de financement'!B42)+SUMIFS(PPI!$H$507:$H$522,PPI!$J$507:$J$522,'Plan pluriannuel de financement'!$P$13,PPI!$D$507:$D$522,'Plan pluriannuel de financement'!B42)</f>
        <v>0</v>
      </c>
      <c r="Q42" s="2201">
        <f t="shared" si="6"/>
        <v>0</v>
      </c>
      <c r="R42" s="2202">
        <f>SUMIFS(PPI!$H$17:$H$500,PPI!$J$17:$J$500,'Plan pluriannuel de financement'!$R$13,PPI!$D$17:$D$500,'Plan pluriannuel de financement'!B42)+SUMIFS(PPI!$H$507:$H$522,PPI!$J$507:$J$522,'Plan pluriannuel de financement'!$R$13,PPI!$D$507:$D$522,'Plan pluriannuel de financement'!B42)</f>
        <v>0</v>
      </c>
      <c r="S42" s="949">
        <f t="shared" si="7"/>
        <v>0</v>
      </c>
    </row>
    <row r="43" spans="1:24" ht="14.1" customHeight="1">
      <c r="A43" s="474"/>
      <c r="B43" s="2199" t="s">
        <v>518</v>
      </c>
      <c r="C43" s="2202">
        <f>SUMIFS(PPI!$H$17:$H$500,PPI!$J$17:$J$500,'Plan pluriannuel de financement'!$C$13,PPI!$D$17:$D$500,'Plan pluriannuel de financement'!B43)+SUMIFS(PPI!$H$507:$H$522,PPI!$J$507:$J$522,'Plan pluriannuel de financement'!$C$13,PPI!$D$507:$D$522,'Plan pluriannuel de financement'!B43)</f>
        <v>0</v>
      </c>
      <c r="D43" s="2202">
        <f>SUMIFS(PPI!$H$17:$H$500,PPI!$J$17:$J$500,'Plan pluriannuel de financement'!$D$13,PPI!$D$17:$D$500,'Plan pluriannuel de financement'!B43)+SUMIFS(PPI!$H$507:$H$522,PPI!$J$507:$J$522,'Plan pluriannuel de financement'!$D$13,PPI!$D$507:$D$522,'Plan pluriannuel de financement'!B43)</f>
        <v>0</v>
      </c>
      <c r="E43" s="2200">
        <f t="shared" si="0"/>
        <v>0</v>
      </c>
      <c r="F43" s="2202">
        <f>SUMIFS(PPI!$H$17:$H$500,PPI!$J$17:$J$500,'Plan pluriannuel de financement'!$F$13,PPI!$D$17:$D$500,'Plan pluriannuel de financement'!B43)+SUMIFS(PPI!$H$507:$H$522,PPI!$J$507:$J$522,'Plan pluriannuel de financement'!$F$13,PPI!$D$507:$D$522,'Plan pluriannuel de financement'!B43)</f>
        <v>0</v>
      </c>
      <c r="G43" s="2200">
        <f t="shared" si="1"/>
        <v>0</v>
      </c>
      <c r="H43" s="2202">
        <f>SUMIFS(PPI!$H$17:$H$500,PPI!$J$17:$J$500,'Plan pluriannuel de financement'!$H$13,PPI!$D$17:$D$500,'Plan pluriannuel de financement'!B43)+SUMIFS(PPI!$H$507:$H$522,PPI!$J$507:$J$522,'Plan pluriannuel de financement'!$H$13,PPI!$D$507:$D$522,'Plan pluriannuel de financement'!B43)</f>
        <v>0</v>
      </c>
      <c r="I43" s="2200">
        <f t="shared" si="2"/>
        <v>0</v>
      </c>
      <c r="J43" s="2202">
        <f>SUMIFS(PPI!$H$17:$H$500,PPI!$J$17:$J$500,'Plan pluriannuel de financement'!$J$13,PPI!$D$17:$D$500,'Plan pluriannuel de financement'!B43)+SUMIFS(PPI!$H$507:$H$522,PPI!$J$507:$J$522,'Plan pluriannuel de financement'!$J$13,PPI!$D$507:$D$522,'Plan pluriannuel de financement'!B43)</f>
        <v>0</v>
      </c>
      <c r="K43" s="2200">
        <f t="shared" si="3"/>
        <v>0</v>
      </c>
      <c r="L43" s="2202">
        <f>SUMIFS(PPI!$H$17:$H$500,PPI!$J$17:$J$500,'Plan pluriannuel de financement'!$L$13,PPI!$D$17:$D$500,'Plan pluriannuel de financement'!B43)+SUMIFS(PPI!$H$507:$H$522,PPI!$J$507:$J$522,'Plan pluriannuel de financement'!$L$13,PPI!$D$507:$D$522,'Plan pluriannuel de financement'!B43)</f>
        <v>0</v>
      </c>
      <c r="M43" s="2201">
        <f t="shared" si="4"/>
        <v>0</v>
      </c>
      <c r="N43" s="2202">
        <f>SUMIFS(PPI!$H$17:$H$500,PPI!$J$17:$J$500,'Plan pluriannuel de financement'!$N$13,PPI!$D$17:$D$500,'Plan pluriannuel de financement'!B43)+SUMIFS(PPI!$H$507:$H$522,PPI!$J$507:$J$522,'Plan pluriannuel de financement'!$N$13,PPI!$D$507:$D$522,'Plan pluriannuel de financement'!B43)</f>
        <v>0</v>
      </c>
      <c r="O43" s="2201">
        <f t="shared" si="5"/>
        <v>0</v>
      </c>
      <c r="P43" s="2202">
        <f>SUMIFS(PPI!$H$17:$H$500,PPI!$J$17:$J$500,'Plan pluriannuel de financement'!$P$13,PPI!$D$17:$D$500,'Plan pluriannuel de financement'!B43)+SUMIFS(PPI!$H$507:$H$522,PPI!$J$507:$J$522,'Plan pluriannuel de financement'!$P$13,PPI!$D$507:$D$522,'Plan pluriannuel de financement'!B43)</f>
        <v>0</v>
      </c>
      <c r="Q43" s="2201">
        <f t="shared" si="6"/>
        <v>0</v>
      </c>
      <c r="R43" s="2202">
        <f>SUMIFS(PPI!$H$17:$H$500,PPI!$J$17:$J$500,'Plan pluriannuel de financement'!$R$13,PPI!$D$17:$D$500,'Plan pluriannuel de financement'!B43)+SUMIFS(PPI!$H$507:$H$522,PPI!$J$507:$J$522,'Plan pluriannuel de financement'!$R$13,PPI!$D$507:$D$522,'Plan pluriannuel de financement'!B43)</f>
        <v>0</v>
      </c>
      <c r="S43" s="949">
        <f t="shared" si="7"/>
        <v>0</v>
      </c>
    </row>
    <row r="44" spans="1:24" ht="14.1" customHeight="1">
      <c r="A44" s="474"/>
      <c r="B44" s="2199" t="s">
        <v>516</v>
      </c>
      <c r="C44" s="2202">
        <f>SUMIFS(PPI!$H$17:$H$500,PPI!$J$17:$J$500,'Plan pluriannuel de financement'!$C$13,PPI!$D$17:$D$500,'Plan pluriannuel de financement'!B44)+SUMIFS(PPI!$H$507:$H$522,PPI!$J$507:$J$522,'Plan pluriannuel de financement'!$C$13,PPI!$D$507:$D$522,'Plan pluriannuel de financement'!B44)</f>
        <v>0</v>
      </c>
      <c r="D44" s="2202">
        <f>SUMIFS(PPI!$H$17:$H$500,PPI!$J$17:$J$500,'Plan pluriannuel de financement'!$D$13,PPI!$D$17:$D$500,'Plan pluriannuel de financement'!B44)+SUMIFS(PPI!$H$507:$H$522,PPI!$J$507:$J$522,'Plan pluriannuel de financement'!$D$13,PPI!$D$507:$D$522,'Plan pluriannuel de financement'!B44)</f>
        <v>0</v>
      </c>
      <c r="E44" s="2200">
        <f t="shared" si="0"/>
        <v>0</v>
      </c>
      <c r="F44" s="2202">
        <f>SUMIFS(PPI!$H$17:$H$500,PPI!$J$17:$J$500,'Plan pluriannuel de financement'!$F$13,PPI!$D$17:$D$500,'Plan pluriannuel de financement'!B44)+SUMIFS(PPI!$H$507:$H$522,PPI!$J$507:$J$522,'Plan pluriannuel de financement'!$F$13,PPI!$D$507:$D$522,'Plan pluriannuel de financement'!B44)</f>
        <v>0</v>
      </c>
      <c r="G44" s="2200">
        <f t="shared" si="1"/>
        <v>0</v>
      </c>
      <c r="H44" s="2202">
        <f>SUMIFS(PPI!$H$17:$H$500,PPI!$J$17:$J$500,'Plan pluriannuel de financement'!$H$13,PPI!$D$17:$D$500,'Plan pluriannuel de financement'!B44)+SUMIFS(PPI!$H$507:$H$522,PPI!$J$507:$J$522,'Plan pluriannuel de financement'!$H$13,PPI!$D$507:$D$522,'Plan pluriannuel de financement'!B44)</f>
        <v>0</v>
      </c>
      <c r="I44" s="2200">
        <f t="shared" si="2"/>
        <v>0</v>
      </c>
      <c r="J44" s="2202">
        <f>SUMIFS(PPI!$H$17:$H$500,PPI!$J$17:$J$500,'Plan pluriannuel de financement'!$J$13,PPI!$D$17:$D$500,'Plan pluriannuel de financement'!B44)+SUMIFS(PPI!$H$507:$H$522,PPI!$J$507:$J$522,'Plan pluriannuel de financement'!$J$13,PPI!$D$507:$D$522,'Plan pluriannuel de financement'!B44)</f>
        <v>0</v>
      </c>
      <c r="K44" s="2200">
        <f t="shared" si="3"/>
        <v>0</v>
      </c>
      <c r="L44" s="2202">
        <f>SUMIFS(PPI!$H$17:$H$500,PPI!$J$17:$J$500,'Plan pluriannuel de financement'!$L$13,PPI!$D$17:$D$500,'Plan pluriannuel de financement'!B44)+SUMIFS(PPI!$H$507:$H$522,PPI!$J$507:$J$522,'Plan pluriannuel de financement'!$L$13,PPI!$D$507:$D$522,'Plan pluriannuel de financement'!B44)</f>
        <v>0</v>
      </c>
      <c r="M44" s="2201">
        <f t="shared" si="4"/>
        <v>0</v>
      </c>
      <c r="N44" s="2202">
        <f>SUMIFS(PPI!$H$17:$H$500,PPI!$J$17:$J$500,'Plan pluriannuel de financement'!$N$13,PPI!$D$17:$D$500,'Plan pluriannuel de financement'!B44)+SUMIFS(PPI!$H$507:$H$522,PPI!$J$507:$J$522,'Plan pluriannuel de financement'!$N$13,PPI!$D$507:$D$522,'Plan pluriannuel de financement'!B44)</f>
        <v>0</v>
      </c>
      <c r="O44" s="2201">
        <f t="shared" si="5"/>
        <v>0</v>
      </c>
      <c r="P44" s="2202">
        <f>SUMIFS(PPI!$H$17:$H$500,PPI!$J$17:$J$500,'Plan pluriannuel de financement'!$P$13,PPI!$D$17:$D$500,'Plan pluriannuel de financement'!B44)+SUMIFS(PPI!$H$507:$H$522,PPI!$J$507:$J$522,'Plan pluriannuel de financement'!$P$13,PPI!$D$507:$D$522,'Plan pluriannuel de financement'!B44)</f>
        <v>0</v>
      </c>
      <c r="Q44" s="2201">
        <f t="shared" si="6"/>
        <v>0</v>
      </c>
      <c r="R44" s="2202">
        <f>SUMIFS(PPI!$H$17:$H$500,PPI!$J$17:$J$500,'Plan pluriannuel de financement'!$R$13,PPI!$D$17:$D$500,'Plan pluriannuel de financement'!B44)+SUMIFS(PPI!$H$507:$H$522,PPI!$J$507:$J$522,'Plan pluriannuel de financement'!$R$13,PPI!$D$507:$D$522,'Plan pluriannuel de financement'!B44)</f>
        <v>0</v>
      </c>
      <c r="S44" s="949">
        <f t="shared" si="7"/>
        <v>0</v>
      </c>
    </row>
    <row r="45" spans="1:24" ht="14.1" customHeight="1">
      <c r="A45" s="474"/>
      <c r="B45" s="1057" t="s">
        <v>686</v>
      </c>
      <c r="C45" s="785"/>
      <c r="D45" s="785"/>
      <c r="E45" s="849">
        <f t="shared" si="0"/>
        <v>0</v>
      </c>
      <c r="F45" s="785"/>
      <c r="G45" s="849">
        <f t="shared" si="1"/>
        <v>0</v>
      </c>
      <c r="H45" s="785"/>
      <c r="I45" s="849">
        <f t="shared" si="2"/>
        <v>0</v>
      </c>
      <c r="J45" s="785"/>
      <c r="K45" s="849">
        <f t="shared" si="3"/>
        <v>0</v>
      </c>
      <c r="L45" s="815"/>
      <c r="M45" s="852">
        <f t="shared" si="4"/>
        <v>0</v>
      </c>
      <c r="N45" s="815"/>
      <c r="O45" s="852">
        <f t="shared" si="5"/>
        <v>0</v>
      </c>
      <c r="P45" s="815"/>
      <c r="Q45" s="852">
        <f t="shared" si="6"/>
        <v>0</v>
      </c>
      <c r="R45" s="815"/>
      <c r="S45" s="949">
        <f t="shared" si="7"/>
        <v>0</v>
      </c>
    </row>
    <row r="46" spans="1:24" ht="21.95" customHeight="1">
      <c r="A46" s="474"/>
      <c r="B46" s="476" t="s">
        <v>458</v>
      </c>
      <c r="C46" s="105"/>
      <c r="D46" s="105"/>
      <c r="E46" s="849">
        <f t="shared" si="0"/>
        <v>0</v>
      </c>
      <c r="F46" s="105"/>
      <c r="G46" s="849">
        <f t="shared" si="1"/>
        <v>0</v>
      </c>
      <c r="H46" s="105"/>
      <c r="I46" s="849">
        <f t="shared" si="2"/>
        <v>0</v>
      </c>
      <c r="J46" s="105"/>
      <c r="K46" s="849">
        <f t="shared" si="3"/>
        <v>0</v>
      </c>
      <c r="L46" s="814"/>
      <c r="M46" s="852">
        <f t="shared" si="4"/>
        <v>0</v>
      </c>
      <c r="N46" s="814"/>
      <c r="O46" s="852">
        <f t="shared" si="5"/>
        <v>0</v>
      </c>
      <c r="P46" s="814"/>
      <c r="Q46" s="852">
        <f t="shared" si="6"/>
        <v>0</v>
      </c>
      <c r="R46" s="814"/>
      <c r="S46" s="949">
        <f t="shared" si="7"/>
        <v>0</v>
      </c>
    </row>
    <row r="47" spans="1:24" ht="21.95" customHeight="1">
      <c r="A47" s="474"/>
      <c r="B47" s="477" t="s">
        <v>86</v>
      </c>
      <c r="C47" s="108"/>
      <c r="D47" s="108"/>
      <c r="E47" s="849">
        <f t="shared" si="0"/>
        <v>0</v>
      </c>
      <c r="F47" s="108"/>
      <c r="G47" s="849">
        <f t="shared" si="1"/>
        <v>0</v>
      </c>
      <c r="H47" s="108"/>
      <c r="I47" s="849">
        <f t="shared" si="2"/>
        <v>0</v>
      </c>
      <c r="J47" s="108"/>
      <c r="K47" s="849">
        <f t="shared" si="3"/>
        <v>0</v>
      </c>
      <c r="L47" s="806"/>
      <c r="M47" s="852">
        <f t="shared" si="4"/>
        <v>0</v>
      </c>
      <c r="N47" s="806"/>
      <c r="O47" s="852">
        <f t="shared" si="5"/>
        <v>0</v>
      </c>
      <c r="P47" s="806"/>
      <c r="Q47" s="852">
        <f t="shared" si="6"/>
        <v>0</v>
      </c>
      <c r="R47" s="806"/>
      <c r="S47" s="949">
        <f t="shared" si="7"/>
        <v>0</v>
      </c>
    </row>
    <row r="48" spans="1:24" s="950" customFormat="1" ht="20.100000000000001" customHeight="1" thickBot="1">
      <c r="A48" s="619"/>
      <c r="B48" s="478" t="s">
        <v>588</v>
      </c>
      <c r="C48" s="103">
        <f t="shared" ref="C48:R48" si="9">SUM(C35:C40)+SUM(C45:C47)</f>
        <v>0</v>
      </c>
      <c r="D48" s="103">
        <f t="shared" si="9"/>
        <v>0</v>
      </c>
      <c r="E48" s="103">
        <f t="shared" si="9"/>
        <v>0</v>
      </c>
      <c r="F48" s="103">
        <f t="shared" si="9"/>
        <v>0</v>
      </c>
      <c r="G48" s="103">
        <f t="shared" si="9"/>
        <v>0</v>
      </c>
      <c r="H48" s="103">
        <f t="shared" si="9"/>
        <v>0</v>
      </c>
      <c r="I48" s="103">
        <f t="shared" si="9"/>
        <v>0</v>
      </c>
      <c r="J48" s="103">
        <f t="shared" si="9"/>
        <v>0</v>
      </c>
      <c r="K48" s="103">
        <f t="shared" si="9"/>
        <v>0</v>
      </c>
      <c r="L48" s="103">
        <f t="shared" si="9"/>
        <v>0</v>
      </c>
      <c r="M48" s="103">
        <f t="shared" si="9"/>
        <v>0</v>
      </c>
      <c r="N48" s="103">
        <f t="shared" si="9"/>
        <v>0</v>
      </c>
      <c r="O48" s="103">
        <f t="shared" si="9"/>
        <v>0</v>
      </c>
      <c r="P48" s="103">
        <f t="shared" si="9"/>
        <v>0</v>
      </c>
      <c r="Q48" s="103">
        <f t="shared" si="9"/>
        <v>0</v>
      </c>
      <c r="R48" s="103">
        <f t="shared" si="9"/>
        <v>0</v>
      </c>
      <c r="S48" s="949">
        <f t="shared" si="7"/>
        <v>0</v>
      </c>
    </row>
    <row r="49" spans="1:19" ht="21" customHeight="1">
      <c r="A49" s="620"/>
      <c r="B49" s="480" t="s">
        <v>459</v>
      </c>
      <c r="C49" s="87">
        <f>$C$33-$C$48</f>
        <v>0</v>
      </c>
      <c r="D49" s="87">
        <f>$D$33-$D$48</f>
        <v>0</v>
      </c>
      <c r="E49" s="948">
        <f t="shared" si="0"/>
        <v>0</v>
      </c>
      <c r="F49" s="87">
        <f>$F$33-$F$48</f>
        <v>0</v>
      </c>
      <c r="G49" s="948">
        <f t="shared" si="1"/>
        <v>0</v>
      </c>
      <c r="H49" s="87">
        <f>$H$33-$H$48</f>
        <v>0</v>
      </c>
      <c r="I49" s="948">
        <f t="shared" si="2"/>
        <v>0</v>
      </c>
      <c r="J49" s="87">
        <f>$J$33-$J$48</f>
        <v>0</v>
      </c>
      <c r="K49" s="948">
        <f t="shared" si="3"/>
        <v>0</v>
      </c>
      <c r="L49" s="87">
        <f>$L$33-$L$48</f>
        <v>0</v>
      </c>
      <c r="M49" s="949">
        <f t="shared" si="4"/>
        <v>0</v>
      </c>
      <c r="N49" s="87">
        <f>$N$33-$N$48</f>
        <v>0</v>
      </c>
      <c r="O49" s="949">
        <f t="shared" si="5"/>
        <v>0</v>
      </c>
      <c r="P49" s="87">
        <f>$P$33-$P$48</f>
        <v>0</v>
      </c>
      <c r="Q49" s="949">
        <f t="shared" si="6"/>
        <v>0</v>
      </c>
      <c r="R49" s="87">
        <f>$R$33-$R$48</f>
        <v>0</v>
      </c>
      <c r="S49" s="949">
        <f t="shared" si="7"/>
        <v>0</v>
      </c>
    </row>
    <row r="50" spans="1:19" ht="24" customHeight="1">
      <c r="A50" s="620"/>
      <c r="B50" s="481" t="s">
        <v>460</v>
      </c>
      <c r="C50" s="88" t="str">
        <f>'Analyse rétrospective (1)'!$I$10</f>
        <v/>
      </c>
      <c r="D50" s="89" t="e">
        <f>$C$51</f>
        <v>#VALUE!</v>
      </c>
      <c r="E50" s="948" t="e">
        <f t="shared" si="0"/>
        <v>#VALUE!</v>
      </c>
      <c r="F50" s="89" t="e">
        <f>$D$51</f>
        <v>#VALUE!</v>
      </c>
      <c r="G50" s="948" t="e">
        <f t="shared" si="1"/>
        <v>#VALUE!</v>
      </c>
      <c r="H50" s="89" t="e">
        <f>$F$51</f>
        <v>#VALUE!</v>
      </c>
      <c r="I50" s="948" t="e">
        <f t="shared" si="2"/>
        <v>#VALUE!</v>
      </c>
      <c r="J50" s="89" t="e">
        <f>$H$51</f>
        <v>#VALUE!</v>
      </c>
      <c r="K50" s="948" t="e">
        <f t="shared" si="3"/>
        <v>#VALUE!</v>
      </c>
      <c r="L50" s="89" t="e">
        <f>$J$51</f>
        <v>#VALUE!</v>
      </c>
      <c r="M50" s="949" t="e">
        <f t="shared" si="4"/>
        <v>#VALUE!</v>
      </c>
      <c r="N50" s="89" t="e">
        <f>$L$51</f>
        <v>#VALUE!</v>
      </c>
      <c r="O50" s="949" t="e">
        <f t="shared" si="5"/>
        <v>#VALUE!</v>
      </c>
      <c r="P50" s="89" t="e">
        <f>$N$51</f>
        <v>#VALUE!</v>
      </c>
      <c r="Q50" s="949" t="e">
        <f t="shared" si="6"/>
        <v>#VALUE!</v>
      </c>
      <c r="R50" s="89" t="e">
        <f>$P$51</f>
        <v>#VALUE!</v>
      </c>
      <c r="S50" s="949" t="e">
        <f t="shared" si="7"/>
        <v>#VALUE!</v>
      </c>
    </row>
    <row r="51" spans="1:19" ht="16.5" customHeight="1" thickBot="1">
      <c r="A51" s="620"/>
      <c r="B51" s="482" t="s">
        <v>461</v>
      </c>
      <c r="C51" s="90" t="e">
        <f>$C$50+$C$49</f>
        <v>#VALUE!</v>
      </c>
      <c r="D51" s="90" t="e">
        <f>$D$50+$D$49</f>
        <v>#VALUE!</v>
      </c>
      <c r="E51" s="948" t="e">
        <f t="shared" si="0"/>
        <v>#VALUE!</v>
      </c>
      <c r="F51" s="90" t="e">
        <f>$F$49+$F$50</f>
        <v>#VALUE!</v>
      </c>
      <c r="G51" s="948" t="e">
        <f t="shared" si="1"/>
        <v>#VALUE!</v>
      </c>
      <c r="H51" s="90" t="e">
        <f>$H$49+$H$50</f>
        <v>#VALUE!</v>
      </c>
      <c r="I51" s="948" t="e">
        <f t="shared" si="2"/>
        <v>#VALUE!</v>
      </c>
      <c r="J51" s="90" t="e">
        <f>$J$49+$J$50</f>
        <v>#VALUE!</v>
      </c>
      <c r="K51" s="948" t="e">
        <f t="shared" si="3"/>
        <v>#VALUE!</v>
      </c>
      <c r="L51" s="90" t="e">
        <f>$L$49+$L$50</f>
        <v>#VALUE!</v>
      </c>
      <c r="M51" s="949" t="e">
        <f t="shared" si="4"/>
        <v>#VALUE!</v>
      </c>
      <c r="N51" s="90" t="e">
        <f>$N$49+$N$50</f>
        <v>#VALUE!</v>
      </c>
      <c r="O51" s="949" t="e">
        <f t="shared" si="5"/>
        <v>#VALUE!</v>
      </c>
      <c r="P51" s="90" t="e">
        <f>$P$49+$P$50</f>
        <v>#VALUE!</v>
      </c>
      <c r="Q51" s="949" t="e">
        <f t="shared" si="6"/>
        <v>#VALUE!</v>
      </c>
      <c r="R51" s="90" t="e">
        <f>$R$49+$R$50</f>
        <v>#VALUE!</v>
      </c>
      <c r="S51" s="949" t="e">
        <f t="shared" si="7"/>
        <v>#VALUE!</v>
      </c>
    </row>
    <row r="52" spans="1:19" ht="30" customHeight="1">
      <c r="A52" s="620"/>
      <c r="B52" s="483" t="s">
        <v>462</v>
      </c>
      <c r="C52" s="813"/>
      <c r="D52" s="813"/>
      <c r="E52" s="948">
        <f t="shared" si="0"/>
        <v>0</v>
      </c>
      <c r="F52" s="813"/>
      <c r="G52" s="948">
        <f t="shared" si="1"/>
        <v>0</v>
      </c>
      <c r="H52" s="813"/>
      <c r="I52" s="948">
        <f t="shared" si="2"/>
        <v>0</v>
      </c>
      <c r="J52" s="813"/>
      <c r="K52" s="948">
        <f t="shared" si="3"/>
        <v>0</v>
      </c>
      <c r="L52" s="808"/>
      <c r="M52" s="949">
        <f t="shared" si="4"/>
        <v>0</v>
      </c>
      <c r="N52" s="808"/>
      <c r="O52" s="949">
        <f t="shared" si="5"/>
        <v>0</v>
      </c>
      <c r="P52" s="808"/>
      <c r="Q52" s="949">
        <f t="shared" si="6"/>
        <v>0</v>
      </c>
      <c r="R52" s="808"/>
      <c r="S52" s="949">
        <f t="shared" si="7"/>
        <v>0</v>
      </c>
    </row>
    <row r="53" spans="1:19" ht="23.25" customHeight="1">
      <c r="A53" s="620"/>
      <c r="B53" s="479" t="s">
        <v>437</v>
      </c>
      <c r="C53" s="86"/>
      <c r="D53" s="86"/>
      <c r="E53" s="948">
        <f t="shared" si="0"/>
        <v>0</v>
      </c>
      <c r="F53" s="86"/>
      <c r="G53" s="948">
        <f t="shared" si="1"/>
        <v>0</v>
      </c>
      <c r="H53" s="86"/>
      <c r="I53" s="948">
        <f t="shared" si="2"/>
        <v>0</v>
      </c>
      <c r="J53" s="86"/>
      <c r="K53" s="948">
        <f t="shared" si="3"/>
        <v>0</v>
      </c>
      <c r="L53" s="808"/>
      <c r="M53" s="949">
        <f t="shared" si="4"/>
        <v>0</v>
      </c>
      <c r="N53" s="808"/>
      <c r="O53" s="949">
        <f t="shared" si="5"/>
        <v>0</v>
      </c>
      <c r="P53" s="808"/>
      <c r="Q53" s="949">
        <f t="shared" si="6"/>
        <v>0</v>
      </c>
      <c r="R53" s="808"/>
      <c r="S53" s="949">
        <f t="shared" si="7"/>
        <v>0</v>
      </c>
    </row>
    <row r="54" spans="1:19" ht="21.95" customHeight="1">
      <c r="A54" s="620"/>
      <c r="B54" s="476" t="s">
        <v>463</v>
      </c>
      <c r="C54" s="106"/>
      <c r="D54" s="106"/>
      <c r="E54" s="849">
        <f t="shared" si="0"/>
        <v>0</v>
      </c>
      <c r="F54" s="106"/>
      <c r="G54" s="849">
        <f t="shared" si="1"/>
        <v>0</v>
      </c>
      <c r="H54" s="106"/>
      <c r="I54" s="849">
        <f t="shared" si="2"/>
        <v>0</v>
      </c>
      <c r="J54" s="106"/>
      <c r="K54" s="849">
        <f t="shared" si="3"/>
        <v>0</v>
      </c>
      <c r="L54" s="789"/>
      <c r="M54" s="852">
        <f t="shared" si="4"/>
        <v>0</v>
      </c>
      <c r="N54" s="789"/>
      <c r="O54" s="852">
        <f t="shared" si="5"/>
        <v>0</v>
      </c>
      <c r="P54" s="789"/>
      <c r="Q54" s="852">
        <f t="shared" si="6"/>
        <v>0</v>
      </c>
      <c r="R54" s="789"/>
      <c r="S54" s="949">
        <f t="shared" si="7"/>
        <v>0</v>
      </c>
    </row>
    <row r="55" spans="1:19" ht="21.95" customHeight="1">
      <c r="A55" s="620"/>
      <c r="B55" s="1058" t="s">
        <v>464</v>
      </c>
      <c r="C55" s="106"/>
      <c r="D55" s="106"/>
      <c r="E55" s="849">
        <f t="shared" si="0"/>
        <v>0</v>
      </c>
      <c r="F55" s="106"/>
      <c r="G55" s="849">
        <f t="shared" si="1"/>
        <v>0</v>
      </c>
      <c r="H55" s="106"/>
      <c r="I55" s="849">
        <f t="shared" si="2"/>
        <v>0</v>
      </c>
      <c r="J55" s="106"/>
      <c r="K55" s="849">
        <f t="shared" si="3"/>
        <v>0</v>
      </c>
      <c r="L55" s="789"/>
      <c r="M55" s="852">
        <f t="shared" si="4"/>
        <v>0</v>
      </c>
      <c r="N55" s="789"/>
      <c r="O55" s="852">
        <f t="shared" si="5"/>
        <v>0</v>
      </c>
      <c r="P55" s="789"/>
      <c r="Q55" s="852">
        <f t="shared" si="6"/>
        <v>0</v>
      </c>
      <c r="R55" s="789"/>
      <c r="S55" s="949">
        <f t="shared" si="7"/>
        <v>0</v>
      </c>
    </row>
    <row r="56" spans="1:19" ht="21.95" customHeight="1">
      <c r="A56" s="620"/>
      <c r="B56" s="83" t="s">
        <v>465</v>
      </c>
      <c r="C56" s="106"/>
      <c r="D56" s="106"/>
      <c r="E56" s="849">
        <f t="shared" si="0"/>
        <v>0</v>
      </c>
      <c r="F56" s="106"/>
      <c r="G56" s="849">
        <f t="shared" si="1"/>
        <v>0</v>
      </c>
      <c r="H56" s="106"/>
      <c r="I56" s="849">
        <f t="shared" si="2"/>
        <v>0</v>
      </c>
      <c r="J56" s="106"/>
      <c r="K56" s="849">
        <f t="shared" si="3"/>
        <v>0</v>
      </c>
      <c r="L56" s="789"/>
      <c r="M56" s="852">
        <f t="shared" si="4"/>
        <v>0</v>
      </c>
      <c r="N56" s="789"/>
      <c r="O56" s="852">
        <f t="shared" si="5"/>
        <v>0</v>
      </c>
      <c r="P56" s="789"/>
      <c r="Q56" s="852">
        <f t="shared" si="6"/>
        <v>0</v>
      </c>
      <c r="R56" s="789"/>
      <c r="S56" s="949">
        <f t="shared" si="7"/>
        <v>0</v>
      </c>
    </row>
    <row r="57" spans="1:19" ht="21.95" customHeight="1">
      <c r="A57" s="620"/>
      <c r="B57" s="83" t="s">
        <v>466</v>
      </c>
      <c r="C57" s="106"/>
      <c r="D57" s="106"/>
      <c r="E57" s="849">
        <f t="shared" si="0"/>
        <v>0</v>
      </c>
      <c r="F57" s="106"/>
      <c r="G57" s="849">
        <f t="shared" si="1"/>
        <v>0</v>
      </c>
      <c r="H57" s="106"/>
      <c r="I57" s="849">
        <f t="shared" si="2"/>
        <v>0</v>
      </c>
      <c r="J57" s="106"/>
      <c r="K57" s="849">
        <f t="shared" si="3"/>
        <v>0</v>
      </c>
      <c r="L57" s="789"/>
      <c r="M57" s="852">
        <f t="shared" si="4"/>
        <v>0</v>
      </c>
      <c r="N57" s="789"/>
      <c r="O57" s="852">
        <f t="shared" si="5"/>
        <v>0</v>
      </c>
      <c r="P57" s="789"/>
      <c r="Q57" s="852">
        <f t="shared" si="6"/>
        <v>0</v>
      </c>
      <c r="R57" s="789"/>
      <c r="S57" s="949">
        <f t="shared" si="7"/>
        <v>0</v>
      </c>
    </row>
    <row r="58" spans="1:19" ht="21.95" customHeight="1">
      <c r="A58" s="620"/>
      <c r="B58" s="477" t="s">
        <v>467</v>
      </c>
      <c r="C58" s="108"/>
      <c r="D58" s="108"/>
      <c r="E58" s="849">
        <f t="shared" si="0"/>
        <v>0</v>
      </c>
      <c r="F58" s="108"/>
      <c r="G58" s="849">
        <f t="shared" si="1"/>
        <v>0</v>
      </c>
      <c r="H58" s="108"/>
      <c r="I58" s="849">
        <f t="shared" si="2"/>
        <v>0</v>
      </c>
      <c r="J58" s="108"/>
      <c r="K58" s="849">
        <f t="shared" si="3"/>
        <v>0</v>
      </c>
      <c r="L58" s="803"/>
      <c r="M58" s="852">
        <f t="shared" si="4"/>
        <v>0</v>
      </c>
      <c r="N58" s="803"/>
      <c r="O58" s="852">
        <f t="shared" si="5"/>
        <v>0</v>
      </c>
      <c r="P58" s="803"/>
      <c r="Q58" s="852">
        <f t="shared" si="6"/>
        <v>0</v>
      </c>
      <c r="R58" s="803"/>
      <c r="S58" s="949">
        <f t="shared" si="7"/>
        <v>0</v>
      </c>
    </row>
    <row r="59" spans="1:19" s="950" customFormat="1" ht="20.100000000000001" customHeight="1">
      <c r="A59" s="621"/>
      <c r="B59" s="478" t="s">
        <v>589</v>
      </c>
      <c r="C59" s="104">
        <f>SUM($C$54:$C$58)</f>
        <v>0</v>
      </c>
      <c r="D59" s="104">
        <f>SUM($D$54:$D$58)</f>
        <v>0</v>
      </c>
      <c r="E59" s="948">
        <f t="shared" si="0"/>
        <v>0</v>
      </c>
      <c r="F59" s="104">
        <f>SUM($F$54:$F$58)</f>
        <v>0</v>
      </c>
      <c r="G59" s="948">
        <f t="shared" si="1"/>
        <v>0</v>
      </c>
      <c r="H59" s="104">
        <f>SUM($H$54:$H$58)</f>
        <v>0</v>
      </c>
      <c r="I59" s="948">
        <f t="shared" si="2"/>
        <v>0</v>
      </c>
      <c r="J59" s="104">
        <f>SUM($J$54:$J$58)</f>
        <v>0</v>
      </c>
      <c r="K59" s="948">
        <f t="shared" si="3"/>
        <v>0</v>
      </c>
      <c r="L59" s="104">
        <f>SUM($L$54:$L$58)</f>
        <v>0</v>
      </c>
      <c r="M59" s="949">
        <f t="shared" si="4"/>
        <v>0</v>
      </c>
      <c r="N59" s="104">
        <f>SUM($N$54:$N$58)</f>
        <v>0</v>
      </c>
      <c r="O59" s="949">
        <f t="shared" si="5"/>
        <v>0</v>
      </c>
      <c r="P59" s="104">
        <f>SUM($P$54:$P$58)</f>
        <v>0</v>
      </c>
      <c r="Q59" s="949">
        <f t="shared" si="6"/>
        <v>0</v>
      </c>
      <c r="R59" s="104">
        <f>SUM($R$54:$R$58)</f>
        <v>0</v>
      </c>
      <c r="S59" s="949">
        <f t="shared" si="7"/>
        <v>0</v>
      </c>
    </row>
    <row r="60" spans="1:19" ht="24" customHeight="1">
      <c r="A60" s="620"/>
      <c r="B60" s="479" t="s">
        <v>451</v>
      </c>
      <c r="C60" s="86"/>
      <c r="D60" s="86"/>
      <c r="E60" s="948">
        <f t="shared" si="0"/>
        <v>0</v>
      </c>
      <c r="F60" s="86"/>
      <c r="G60" s="948">
        <f t="shared" si="1"/>
        <v>0</v>
      </c>
      <c r="H60" s="86"/>
      <c r="I60" s="948">
        <f t="shared" si="2"/>
        <v>0</v>
      </c>
      <c r="J60" s="86"/>
      <c r="K60" s="948">
        <f t="shared" si="3"/>
        <v>0</v>
      </c>
      <c r="L60" s="810"/>
      <c r="M60" s="949">
        <f t="shared" si="4"/>
        <v>0</v>
      </c>
      <c r="N60" s="810"/>
      <c r="O60" s="949">
        <f t="shared" si="5"/>
        <v>0</v>
      </c>
      <c r="P60" s="810"/>
      <c r="Q60" s="949">
        <f t="shared" si="6"/>
        <v>0</v>
      </c>
      <c r="R60" s="810"/>
      <c r="S60" s="949">
        <f t="shared" si="7"/>
        <v>0</v>
      </c>
    </row>
    <row r="61" spans="1:19" ht="21.95" customHeight="1">
      <c r="A61" s="620"/>
      <c r="B61" s="83" t="s">
        <v>468</v>
      </c>
      <c r="C61" s="106"/>
      <c r="D61" s="106"/>
      <c r="E61" s="849">
        <f t="shared" si="0"/>
        <v>0</v>
      </c>
      <c r="F61" s="106"/>
      <c r="G61" s="849">
        <f t="shared" si="1"/>
        <v>0</v>
      </c>
      <c r="H61" s="106"/>
      <c r="I61" s="849">
        <f t="shared" si="2"/>
        <v>0</v>
      </c>
      <c r="J61" s="106"/>
      <c r="K61" s="849">
        <f t="shared" si="3"/>
        <v>0</v>
      </c>
      <c r="L61" s="790"/>
      <c r="M61" s="852">
        <f t="shared" si="4"/>
        <v>0</v>
      </c>
      <c r="N61" s="790"/>
      <c r="O61" s="852">
        <f t="shared" si="5"/>
        <v>0</v>
      </c>
      <c r="P61" s="790"/>
      <c r="Q61" s="852">
        <f t="shared" si="6"/>
        <v>0</v>
      </c>
      <c r="R61" s="790"/>
      <c r="S61" s="949">
        <f t="shared" si="7"/>
        <v>0</v>
      </c>
    </row>
    <row r="62" spans="1:19" ht="21.95" customHeight="1">
      <c r="A62" s="620"/>
      <c r="B62" s="484" t="s">
        <v>469</v>
      </c>
      <c r="C62" s="106"/>
      <c r="D62" s="106"/>
      <c r="E62" s="849">
        <f t="shared" si="0"/>
        <v>0</v>
      </c>
      <c r="F62" s="106"/>
      <c r="G62" s="849">
        <f t="shared" si="1"/>
        <v>0</v>
      </c>
      <c r="H62" s="106"/>
      <c r="I62" s="849">
        <f t="shared" si="2"/>
        <v>0</v>
      </c>
      <c r="J62" s="106"/>
      <c r="K62" s="849">
        <f t="shared" si="3"/>
        <v>0</v>
      </c>
      <c r="L62" s="790"/>
      <c r="M62" s="852">
        <f t="shared" si="4"/>
        <v>0</v>
      </c>
      <c r="N62" s="790"/>
      <c r="O62" s="852">
        <f t="shared" si="5"/>
        <v>0</v>
      </c>
      <c r="P62" s="790"/>
      <c r="Q62" s="852">
        <f t="shared" si="6"/>
        <v>0</v>
      </c>
      <c r="R62" s="790"/>
      <c r="S62" s="949">
        <f t="shared" si="7"/>
        <v>0</v>
      </c>
    </row>
    <row r="63" spans="1:19" ht="21.95" customHeight="1">
      <c r="A63" s="620"/>
      <c r="B63" s="83" t="s">
        <v>470</v>
      </c>
      <c r="C63" s="106"/>
      <c r="D63" s="106"/>
      <c r="E63" s="849">
        <f t="shared" si="0"/>
        <v>0</v>
      </c>
      <c r="F63" s="106"/>
      <c r="G63" s="849">
        <f t="shared" si="1"/>
        <v>0</v>
      </c>
      <c r="H63" s="106"/>
      <c r="I63" s="849">
        <f t="shared" si="2"/>
        <v>0</v>
      </c>
      <c r="J63" s="106"/>
      <c r="K63" s="849">
        <f t="shared" si="3"/>
        <v>0</v>
      </c>
      <c r="L63" s="790"/>
      <c r="M63" s="852">
        <f t="shared" si="4"/>
        <v>0</v>
      </c>
      <c r="N63" s="790"/>
      <c r="O63" s="852">
        <f t="shared" si="5"/>
        <v>0</v>
      </c>
      <c r="P63" s="790"/>
      <c r="Q63" s="852">
        <f t="shared" si="6"/>
        <v>0</v>
      </c>
      <c r="R63" s="790"/>
      <c r="S63" s="949">
        <f t="shared" si="7"/>
        <v>0</v>
      </c>
    </row>
    <row r="64" spans="1:19" ht="21.95" customHeight="1">
      <c r="A64" s="620"/>
      <c r="B64" s="485" t="s">
        <v>471</v>
      </c>
      <c r="C64" s="497"/>
      <c r="D64" s="497"/>
      <c r="E64" s="948">
        <f t="shared" si="0"/>
        <v>0</v>
      </c>
      <c r="F64" s="497"/>
      <c r="G64" s="948">
        <f t="shared" si="1"/>
        <v>0</v>
      </c>
      <c r="H64" s="497"/>
      <c r="I64" s="948">
        <f t="shared" si="2"/>
        <v>0</v>
      </c>
      <c r="J64" s="497"/>
      <c r="K64" s="948">
        <f t="shared" si="3"/>
        <v>0</v>
      </c>
      <c r="L64" s="951"/>
      <c r="M64" s="949">
        <f t="shared" si="4"/>
        <v>0</v>
      </c>
      <c r="N64" s="951"/>
      <c r="O64" s="949">
        <f t="shared" si="5"/>
        <v>0</v>
      </c>
      <c r="P64" s="951"/>
      <c r="Q64" s="949">
        <f t="shared" si="6"/>
        <v>0</v>
      </c>
      <c r="R64" s="951"/>
      <c r="S64" s="949">
        <f t="shared" si="7"/>
        <v>0</v>
      </c>
    </row>
    <row r="65" spans="1:19" ht="15" customHeight="1">
      <c r="A65" s="620"/>
      <c r="B65" s="476" t="s">
        <v>594</v>
      </c>
      <c r="C65" s="106"/>
      <c r="D65" s="106"/>
      <c r="E65" s="849">
        <f t="shared" si="0"/>
        <v>0</v>
      </c>
      <c r="F65" s="106"/>
      <c r="G65" s="849">
        <f t="shared" si="1"/>
        <v>0</v>
      </c>
      <c r="H65" s="106"/>
      <c r="I65" s="849">
        <f t="shared" si="2"/>
        <v>0</v>
      </c>
      <c r="J65" s="106"/>
      <c r="K65" s="849">
        <f t="shared" si="3"/>
        <v>0</v>
      </c>
      <c r="L65" s="790"/>
      <c r="M65" s="852">
        <f t="shared" si="4"/>
        <v>0</v>
      </c>
      <c r="N65" s="790"/>
      <c r="O65" s="852">
        <f t="shared" si="5"/>
        <v>0</v>
      </c>
      <c r="P65" s="790"/>
      <c r="Q65" s="852">
        <f t="shared" si="6"/>
        <v>0</v>
      </c>
      <c r="R65" s="790"/>
      <c r="S65" s="949">
        <f t="shared" si="7"/>
        <v>0</v>
      </c>
    </row>
    <row r="66" spans="1:19" ht="15" customHeight="1">
      <c r="A66" s="620"/>
      <c r="B66" s="476" t="s">
        <v>472</v>
      </c>
      <c r="C66" s="106"/>
      <c r="D66" s="106"/>
      <c r="E66" s="849">
        <f t="shared" si="0"/>
        <v>0</v>
      </c>
      <c r="F66" s="106"/>
      <c r="G66" s="849">
        <f t="shared" si="1"/>
        <v>0</v>
      </c>
      <c r="H66" s="106"/>
      <c r="I66" s="849">
        <f t="shared" si="2"/>
        <v>0</v>
      </c>
      <c r="J66" s="106"/>
      <c r="K66" s="849">
        <f t="shared" si="3"/>
        <v>0</v>
      </c>
      <c r="L66" s="790"/>
      <c r="M66" s="852">
        <f t="shared" si="4"/>
        <v>0</v>
      </c>
      <c r="N66" s="790"/>
      <c r="O66" s="852">
        <f t="shared" si="5"/>
        <v>0</v>
      </c>
      <c r="P66" s="790"/>
      <c r="Q66" s="852">
        <f t="shared" si="6"/>
        <v>0</v>
      </c>
      <c r="R66" s="790"/>
      <c r="S66" s="949">
        <f t="shared" si="7"/>
        <v>0</v>
      </c>
    </row>
    <row r="67" spans="1:19" ht="21.95" customHeight="1">
      <c r="A67" s="620"/>
      <c r="B67" s="476" t="s">
        <v>473</v>
      </c>
      <c r="C67" s="106"/>
      <c r="D67" s="106"/>
      <c r="E67" s="849">
        <f t="shared" si="0"/>
        <v>0</v>
      </c>
      <c r="F67" s="106"/>
      <c r="G67" s="849">
        <f t="shared" si="1"/>
        <v>0</v>
      </c>
      <c r="H67" s="106"/>
      <c r="I67" s="849">
        <f t="shared" si="2"/>
        <v>0</v>
      </c>
      <c r="J67" s="106"/>
      <c r="K67" s="849">
        <f t="shared" si="3"/>
        <v>0</v>
      </c>
      <c r="L67" s="790"/>
      <c r="M67" s="852">
        <f t="shared" si="4"/>
        <v>0</v>
      </c>
      <c r="N67" s="790"/>
      <c r="O67" s="852">
        <f t="shared" si="5"/>
        <v>0</v>
      </c>
      <c r="P67" s="790"/>
      <c r="Q67" s="852">
        <f t="shared" si="6"/>
        <v>0</v>
      </c>
      <c r="R67" s="790"/>
      <c r="S67" s="949">
        <f t="shared" si="7"/>
        <v>0</v>
      </c>
    </row>
    <row r="68" spans="1:19" ht="21.95" customHeight="1">
      <c r="A68" s="620"/>
      <c r="B68" s="476" t="s">
        <v>466</v>
      </c>
      <c r="C68" s="106"/>
      <c r="D68" s="106"/>
      <c r="E68" s="849">
        <f t="shared" si="0"/>
        <v>0</v>
      </c>
      <c r="F68" s="106"/>
      <c r="G68" s="849">
        <f t="shared" si="1"/>
        <v>0</v>
      </c>
      <c r="H68" s="106"/>
      <c r="I68" s="849">
        <f t="shared" si="2"/>
        <v>0</v>
      </c>
      <c r="J68" s="106"/>
      <c r="K68" s="849">
        <f t="shared" si="3"/>
        <v>0</v>
      </c>
      <c r="L68" s="790"/>
      <c r="M68" s="852">
        <f t="shared" si="4"/>
        <v>0</v>
      </c>
      <c r="N68" s="790"/>
      <c r="O68" s="852">
        <f t="shared" si="5"/>
        <v>0</v>
      </c>
      <c r="P68" s="790"/>
      <c r="Q68" s="852">
        <f t="shared" si="6"/>
        <v>0</v>
      </c>
      <c r="R68" s="790"/>
      <c r="S68" s="949">
        <f t="shared" si="7"/>
        <v>0</v>
      </c>
    </row>
    <row r="69" spans="1:19" ht="21.95" customHeight="1">
      <c r="A69" s="620"/>
      <c r="B69" s="477" t="s">
        <v>474</v>
      </c>
      <c r="C69" s="108"/>
      <c r="D69" s="108"/>
      <c r="E69" s="849">
        <f t="shared" si="0"/>
        <v>0</v>
      </c>
      <c r="F69" s="108"/>
      <c r="G69" s="849">
        <f t="shared" si="1"/>
        <v>0</v>
      </c>
      <c r="H69" s="108"/>
      <c r="I69" s="849">
        <f t="shared" si="2"/>
        <v>0</v>
      </c>
      <c r="J69" s="108"/>
      <c r="K69" s="849">
        <f t="shared" si="3"/>
        <v>0</v>
      </c>
      <c r="L69" s="811"/>
      <c r="M69" s="852">
        <f t="shared" si="4"/>
        <v>0</v>
      </c>
      <c r="N69" s="811"/>
      <c r="O69" s="852">
        <f t="shared" si="5"/>
        <v>0</v>
      </c>
      <c r="P69" s="811"/>
      <c r="Q69" s="852">
        <f t="shared" si="6"/>
        <v>0</v>
      </c>
      <c r="R69" s="811"/>
      <c r="S69" s="949">
        <f t="shared" si="7"/>
        <v>0</v>
      </c>
    </row>
    <row r="70" spans="1:19" s="952" customFormat="1" ht="20.100000000000001" customHeight="1" thickBot="1">
      <c r="A70" s="622"/>
      <c r="B70" s="478" t="s">
        <v>590</v>
      </c>
      <c r="C70" s="103">
        <f>SUM($C$61:$C$69)</f>
        <v>0</v>
      </c>
      <c r="D70" s="103">
        <f>SUM($D$61:$D$69)</f>
        <v>0</v>
      </c>
      <c r="E70" s="948">
        <f t="shared" si="0"/>
        <v>0</v>
      </c>
      <c r="F70" s="103">
        <f>SUM($F$61:$F$69)</f>
        <v>0</v>
      </c>
      <c r="G70" s="948">
        <f t="shared" si="1"/>
        <v>0</v>
      </c>
      <c r="H70" s="103">
        <f>SUM($H$61:$H$69)</f>
        <v>0</v>
      </c>
      <c r="I70" s="948">
        <f t="shared" si="2"/>
        <v>0</v>
      </c>
      <c r="J70" s="103">
        <f>SUM($J$61:$J$69)</f>
        <v>0</v>
      </c>
      <c r="K70" s="948">
        <f t="shared" si="3"/>
        <v>0</v>
      </c>
      <c r="L70" s="812">
        <f>SUM($L$61:$L$69)</f>
        <v>0</v>
      </c>
      <c r="M70" s="949">
        <f t="shared" si="4"/>
        <v>0</v>
      </c>
      <c r="N70" s="812">
        <f>SUM($N$61:$N$69)</f>
        <v>0</v>
      </c>
      <c r="O70" s="949">
        <f t="shared" si="5"/>
        <v>0</v>
      </c>
      <c r="P70" s="812">
        <f>SUM($P$61:$P$69)</f>
        <v>0</v>
      </c>
      <c r="Q70" s="949">
        <f t="shared" si="6"/>
        <v>0</v>
      </c>
      <c r="R70" s="812">
        <f>SUM($R$61:$R$69)</f>
        <v>0</v>
      </c>
      <c r="S70" s="949">
        <f t="shared" si="7"/>
        <v>0</v>
      </c>
    </row>
    <row r="71" spans="1:19" ht="21" customHeight="1">
      <c r="A71" s="623"/>
      <c r="B71" s="480" t="s">
        <v>475</v>
      </c>
      <c r="C71" s="87">
        <f>$C$59-$C$70</f>
        <v>0</v>
      </c>
      <c r="D71" s="87">
        <f>$D$59-$D$70</f>
        <v>0</v>
      </c>
      <c r="E71" s="948">
        <f t="shared" si="0"/>
        <v>0</v>
      </c>
      <c r="F71" s="87">
        <f>$F$59-$F$70</f>
        <v>0</v>
      </c>
      <c r="G71" s="948">
        <f t="shared" si="1"/>
        <v>0</v>
      </c>
      <c r="H71" s="87">
        <f>$H$59-$H$70</f>
        <v>0</v>
      </c>
      <c r="I71" s="948">
        <f t="shared" si="2"/>
        <v>0</v>
      </c>
      <c r="J71" s="87">
        <f>$J$59-$J$70</f>
        <v>0</v>
      </c>
      <c r="K71" s="948">
        <f t="shared" si="3"/>
        <v>0</v>
      </c>
      <c r="L71" s="87">
        <f>$L$59-$L$70</f>
        <v>0</v>
      </c>
      <c r="M71" s="949">
        <f t="shared" si="4"/>
        <v>0</v>
      </c>
      <c r="N71" s="87">
        <f>$N$59-$N$70</f>
        <v>0</v>
      </c>
      <c r="O71" s="949">
        <f t="shared" si="5"/>
        <v>0</v>
      </c>
      <c r="P71" s="87">
        <f>$P$59-$P$70</f>
        <v>0</v>
      </c>
      <c r="Q71" s="949">
        <f t="shared" si="6"/>
        <v>0</v>
      </c>
      <c r="R71" s="87">
        <f>$R$59-$R$70</f>
        <v>0</v>
      </c>
      <c r="S71" s="949">
        <f t="shared" si="7"/>
        <v>0</v>
      </c>
    </row>
    <row r="72" spans="1:19" ht="24" customHeight="1">
      <c r="A72" s="624"/>
      <c r="B72" s="481" t="s">
        <v>476</v>
      </c>
      <c r="C72" s="92" t="str">
        <f>'Analyse rétrospective (1)'!$I$30</f>
        <v/>
      </c>
      <c r="D72" s="89" t="e">
        <f>$C$73</f>
        <v>#VALUE!</v>
      </c>
      <c r="E72" s="948" t="e">
        <f t="shared" si="0"/>
        <v>#VALUE!</v>
      </c>
      <c r="F72" s="89" t="e">
        <f>$D$73</f>
        <v>#VALUE!</v>
      </c>
      <c r="G72" s="948" t="e">
        <f t="shared" si="1"/>
        <v>#VALUE!</v>
      </c>
      <c r="H72" s="89" t="e">
        <f>$F$73</f>
        <v>#VALUE!</v>
      </c>
      <c r="I72" s="948" t="e">
        <f t="shared" si="2"/>
        <v>#VALUE!</v>
      </c>
      <c r="J72" s="89" t="e">
        <f>$H$73</f>
        <v>#VALUE!</v>
      </c>
      <c r="K72" s="948" t="e">
        <f t="shared" si="3"/>
        <v>#VALUE!</v>
      </c>
      <c r="L72" s="89" t="e">
        <f>$J$73</f>
        <v>#VALUE!</v>
      </c>
      <c r="M72" s="949" t="e">
        <f t="shared" si="4"/>
        <v>#VALUE!</v>
      </c>
      <c r="N72" s="89" t="e">
        <f>$L$73</f>
        <v>#VALUE!</v>
      </c>
      <c r="O72" s="949" t="e">
        <f t="shared" si="5"/>
        <v>#VALUE!</v>
      </c>
      <c r="P72" s="89" t="e">
        <f>$N$73</f>
        <v>#VALUE!</v>
      </c>
      <c r="Q72" s="949" t="e">
        <f t="shared" si="6"/>
        <v>#VALUE!</v>
      </c>
      <c r="R72" s="89" t="e">
        <f>$P$73</f>
        <v>#VALUE!</v>
      </c>
      <c r="S72" s="949" t="e">
        <f t="shared" si="7"/>
        <v>#VALUE!</v>
      </c>
    </row>
    <row r="73" spans="1:19" ht="20.100000000000001" customHeight="1">
      <c r="A73" s="625"/>
      <c r="B73" s="486" t="s">
        <v>477</v>
      </c>
      <c r="C73" s="93" t="e">
        <f>$C$72+$C$71</f>
        <v>#VALUE!</v>
      </c>
      <c r="D73" s="93" t="e">
        <f>$D$72+$D$71</f>
        <v>#VALUE!</v>
      </c>
      <c r="E73" s="948" t="e">
        <f t="shared" si="0"/>
        <v>#VALUE!</v>
      </c>
      <c r="F73" s="93" t="e">
        <f>$F$72+$F$71</f>
        <v>#VALUE!</v>
      </c>
      <c r="G73" s="948" t="e">
        <f t="shared" si="1"/>
        <v>#VALUE!</v>
      </c>
      <c r="H73" s="93" t="e">
        <f>$H$72+$H$71</f>
        <v>#VALUE!</v>
      </c>
      <c r="I73" s="948" t="e">
        <f t="shared" si="2"/>
        <v>#VALUE!</v>
      </c>
      <c r="J73" s="93" t="e">
        <f>$J$72+$J$71</f>
        <v>#VALUE!</v>
      </c>
      <c r="K73" s="948" t="e">
        <f t="shared" si="3"/>
        <v>#VALUE!</v>
      </c>
      <c r="L73" s="799" t="e">
        <f>$L$72+$L$71</f>
        <v>#VALUE!</v>
      </c>
      <c r="M73" s="949" t="e">
        <f t="shared" si="4"/>
        <v>#VALUE!</v>
      </c>
      <c r="N73" s="799" t="e">
        <f>$N$72+$N$71</f>
        <v>#VALUE!</v>
      </c>
      <c r="O73" s="949" t="e">
        <f t="shared" si="5"/>
        <v>#VALUE!</v>
      </c>
      <c r="P73" s="799" t="e">
        <f>$P$72+$P$71</f>
        <v>#VALUE!</v>
      </c>
      <c r="Q73" s="949" t="e">
        <f t="shared" si="6"/>
        <v>#VALUE!</v>
      </c>
      <c r="R73" s="799" t="e">
        <f>$R$72+$R$71</f>
        <v>#VALUE!</v>
      </c>
      <c r="S73" s="949" t="e">
        <f t="shared" si="7"/>
        <v>#VALUE!</v>
      </c>
    </row>
    <row r="74" spans="1:19" ht="30" customHeight="1" thickBot="1">
      <c r="A74" s="620"/>
      <c r="B74" s="482" t="s">
        <v>478</v>
      </c>
      <c r="C74" s="94" t="e">
        <f>$C$51+$C$73</f>
        <v>#VALUE!</v>
      </c>
      <c r="D74" s="94" t="e">
        <f>$D$51+$D$73</f>
        <v>#VALUE!</v>
      </c>
      <c r="E74" s="948" t="e">
        <f t="shared" si="0"/>
        <v>#VALUE!</v>
      </c>
      <c r="F74" s="94" t="e">
        <f>$F$51+$F$73</f>
        <v>#VALUE!</v>
      </c>
      <c r="G74" s="948" t="e">
        <f t="shared" si="1"/>
        <v>#VALUE!</v>
      </c>
      <c r="H74" s="94" t="e">
        <f>$H$51+$H$73</f>
        <v>#VALUE!</v>
      </c>
      <c r="I74" s="948" t="e">
        <f t="shared" si="2"/>
        <v>#VALUE!</v>
      </c>
      <c r="J74" s="94" t="e">
        <f>$J$51+$J$73</f>
        <v>#VALUE!</v>
      </c>
      <c r="K74" s="948" t="e">
        <f t="shared" si="3"/>
        <v>#VALUE!</v>
      </c>
      <c r="L74" s="788" t="e">
        <f>$L$51+$L$73</f>
        <v>#VALUE!</v>
      </c>
      <c r="M74" s="949" t="e">
        <f t="shared" si="4"/>
        <v>#VALUE!</v>
      </c>
      <c r="N74" s="788" t="e">
        <f>$N$51+$N$73</f>
        <v>#VALUE!</v>
      </c>
      <c r="O74" s="949" t="e">
        <f t="shared" si="5"/>
        <v>#VALUE!</v>
      </c>
      <c r="P74" s="788" t="e">
        <f>$P$51+$P$73</f>
        <v>#VALUE!</v>
      </c>
      <c r="Q74" s="949" t="e">
        <f t="shared" si="6"/>
        <v>#VALUE!</v>
      </c>
      <c r="R74" s="788" t="e">
        <f>$R$51+$R$73</f>
        <v>#VALUE!</v>
      </c>
      <c r="S74" s="949" t="e">
        <f t="shared" si="7"/>
        <v>#VALUE!</v>
      </c>
    </row>
    <row r="75" spans="1:19" ht="30" customHeight="1">
      <c r="A75" s="620"/>
      <c r="B75" s="487" t="s">
        <v>479</v>
      </c>
      <c r="C75" s="91"/>
      <c r="D75" s="91"/>
      <c r="E75" s="948">
        <f t="shared" si="0"/>
        <v>0</v>
      </c>
      <c r="F75" s="91"/>
      <c r="G75" s="948">
        <f t="shared" si="1"/>
        <v>0</v>
      </c>
      <c r="H75" s="91"/>
      <c r="I75" s="948">
        <f t="shared" si="2"/>
        <v>0</v>
      </c>
      <c r="J75" s="91"/>
      <c r="K75" s="948">
        <f t="shared" si="3"/>
        <v>0</v>
      </c>
      <c r="L75" s="783"/>
      <c r="M75" s="949">
        <f t="shared" si="4"/>
        <v>0</v>
      </c>
      <c r="N75" s="783"/>
      <c r="O75" s="949">
        <f t="shared" si="5"/>
        <v>0</v>
      </c>
      <c r="P75" s="783"/>
      <c r="Q75" s="949">
        <f t="shared" si="6"/>
        <v>0</v>
      </c>
      <c r="R75" s="783"/>
      <c r="S75" s="949">
        <f t="shared" si="7"/>
        <v>0</v>
      </c>
    </row>
    <row r="76" spans="1:19" ht="24.75" customHeight="1">
      <c r="A76" s="620"/>
      <c r="B76" s="479" t="s">
        <v>480</v>
      </c>
      <c r="C76" s="86"/>
      <c r="D76" s="86"/>
      <c r="E76" s="948">
        <f t="shared" si="0"/>
        <v>0</v>
      </c>
      <c r="F76" s="86"/>
      <c r="G76" s="948">
        <f t="shared" si="1"/>
        <v>0</v>
      </c>
      <c r="H76" s="86"/>
      <c r="I76" s="948">
        <f t="shared" si="2"/>
        <v>0</v>
      </c>
      <c r="J76" s="86"/>
      <c r="K76" s="948">
        <f t="shared" si="3"/>
        <v>0</v>
      </c>
      <c r="L76" s="783"/>
      <c r="M76" s="949">
        <f t="shared" si="4"/>
        <v>0</v>
      </c>
      <c r="N76" s="783"/>
      <c r="O76" s="949">
        <f t="shared" si="5"/>
        <v>0</v>
      </c>
      <c r="P76" s="783"/>
      <c r="Q76" s="949">
        <f t="shared" si="6"/>
        <v>0</v>
      </c>
      <c r="R76" s="783"/>
      <c r="S76" s="949">
        <f t="shared" si="7"/>
        <v>0</v>
      </c>
    </row>
    <row r="77" spans="1:19" ht="21.95" customHeight="1">
      <c r="A77" s="620"/>
      <c r="B77" s="476" t="s">
        <v>481</v>
      </c>
      <c r="C77" s="106"/>
      <c r="D77" s="106"/>
      <c r="E77" s="849">
        <f t="shared" si="0"/>
        <v>0</v>
      </c>
      <c r="F77" s="106"/>
      <c r="G77" s="849">
        <f t="shared" si="1"/>
        <v>0</v>
      </c>
      <c r="H77" s="106"/>
      <c r="I77" s="849">
        <f t="shared" si="2"/>
        <v>0</v>
      </c>
      <c r="J77" s="106"/>
      <c r="K77" s="849">
        <f t="shared" si="3"/>
        <v>0</v>
      </c>
      <c r="L77" s="790"/>
      <c r="M77" s="852">
        <f t="shared" si="4"/>
        <v>0</v>
      </c>
      <c r="N77" s="790"/>
      <c r="O77" s="852">
        <f t="shared" si="5"/>
        <v>0</v>
      </c>
      <c r="P77" s="790"/>
      <c r="Q77" s="852">
        <f t="shared" si="6"/>
        <v>0</v>
      </c>
      <c r="R77" s="790"/>
      <c r="S77" s="949">
        <f t="shared" si="7"/>
        <v>0</v>
      </c>
    </row>
    <row r="78" spans="1:19" ht="21.95" customHeight="1">
      <c r="A78" s="620"/>
      <c r="B78" s="476" t="s">
        <v>482</v>
      </c>
      <c r="C78" s="106"/>
      <c r="D78" s="106"/>
      <c r="E78" s="849">
        <f t="shared" si="0"/>
        <v>0</v>
      </c>
      <c r="F78" s="106"/>
      <c r="G78" s="849">
        <f t="shared" si="1"/>
        <v>0</v>
      </c>
      <c r="H78" s="106"/>
      <c r="I78" s="849">
        <f t="shared" si="2"/>
        <v>0</v>
      </c>
      <c r="J78" s="106"/>
      <c r="K78" s="849">
        <f t="shared" si="3"/>
        <v>0</v>
      </c>
      <c r="L78" s="790"/>
      <c r="M78" s="852">
        <f t="shared" si="4"/>
        <v>0</v>
      </c>
      <c r="N78" s="790"/>
      <c r="O78" s="852">
        <f t="shared" si="5"/>
        <v>0</v>
      </c>
      <c r="P78" s="790"/>
      <c r="Q78" s="852">
        <f t="shared" si="6"/>
        <v>0</v>
      </c>
      <c r="R78" s="790"/>
      <c r="S78" s="949">
        <f t="shared" si="7"/>
        <v>0</v>
      </c>
    </row>
    <row r="79" spans="1:19" ht="21.95" customHeight="1">
      <c r="A79" s="620"/>
      <c r="B79" s="83" t="s">
        <v>483</v>
      </c>
      <c r="C79" s="106"/>
      <c r="D79" s="106"/>
      <c r="E79" s="849">
        <f t="shared" si="0"/>
        <v>0</v>
      </c>
      <c r="F79" s="106"/>
      <c r="G79" s="849">
        <f t="shared" si="1"/>
        <v>0</v>
      </c>
      <c r="H79" s="106"/>
      <c r="I79" s="849">
        <f t="shared" si="2"/>
        <v>0</v>
      </c>
      <c r="J79" s="106"/>
      <c r="K79" s="849">
        <f t="shared" si="3"/>
        <v>0</v>
      </c>
      <c r="L79" s="790"/>
      <c r="M79" s="852">
        <f t="shared" si="4"/>
        <v>0</v>
      </c>
      <c r="N79" s="790"/>
      <c r="O79" s="852">
        <f t="shared" si="5"/>
        <v>0</v>
      </c>
      <c r="P79" s="790"/>
      <c r="Q79" s="852">
        <f t="shared" si="6"/>
        <v>0</v>
      </c>
      <c r="R79" s="790"/>
      <c r="S79" s="949">
        <f t="shared" si="7"/>
        <v>0</v>
      </c>
    </row>
    <row r="80" spans="1:19" ht="21.95" customHeight="1">
      <c r="A80" s="620"/>
      <c r="B80" s="83" t="s">
        <v>484</v>
      </c>
      <c r="C80" s="106"/>
      <c r="D80" s="106"/>
      <c r="E80" s="849">
        <f t="shared" si="0"/>
        <v>0</v>
      </c>
      <c r="F80" s="106"/>
      <c r="G80" s="849">
        <f t="shared" si="1"/>
        <v>0</v>
      </c>
      <c r="H80" s="106"/>
      <c r="I80" s="849">
        <f t="shared" si="2"/>
        <v>0</v>
      </c>
      <c r="J80" s="106"/>
      <c r="K80" s="849">
        <f t="shared" si="3"/>
        <v>0</v>
      </c>
      <c r="L80" s="790"/>
      <c r="M80" s="852">
        <f t="shared" si="4"/>
        <v>0</v>
      </c>
      <c r="N80" s="790"/>
      <c r="O80" s="852">
        <f t="shared" si="5"/>
        <v>0</v>
      </c>
      <c r="P80" s="790"/>
      <c r="Q80" s="852">
        <f t="shared" si="6"/>
        <v>0</v>
      </c>
      <c r="R80" s="790"/>
      <c r="S80" s="949">
        <f t="shared" si="7"/>
        <v>0</v>
      </c>
    </row>
    <row r="81" spans="1:19" ht="21.95" customHeight="1">
      <c r="A81" s="620"/>
      <c r="B81" s="83" t="s">
        <v>485</v>
      </c>
      <c r="C81" s="106"/>
      <c r="D81" s="106"/>
      <c r="E81" s="849">
        <f t="shared" ref="E81:E104" si="10">C81+D81</f>
        <v>0</v>
      </c>
      <c r="F81" s="106"/>
      <c r="G81" s="849">
        <f t="shared" ref="G81:G104" si="11">E81+F81</f>
        <v>0</v>
      </c>
      <c r="H81" s="106"/>
      <c r="I81" s="849">
        <f t="shared" ref="I81:I104" si="12">G81+H81</f>
        <v>0</v>
      </c>
      <c r="J81" s="106"/>
      <c r="K81" s="849">
        <f t="shared" ref="K81:K104" si="13">I81+J81</f>
        <v>0</v>
      </c>
      <c r="L81" s="790"/>
      <c r="M81" s="852">
        <f t="shared" ref="M81:M104" si="14">K81+L81</f>
        <v>0</v>
      </c>
      <c r="N81" s="790"/>
      <c r="O81" s="852">
        <f t="shared" ref="O81:O104" si="15">M81+N81</f>
        <v>0</v>
      </c>
      <c r="P81" s="790"/>
      <c r="Q81" s="852">
        <f t="shared" ref="Q81:Q104" si="16">O81+P81</f>
        <v>0</v>
      </c>
      <c r="R81" s="790"/>
      <c r="S81" s="949">
        <f t="shared" ref="S81:S104" si="17">Q81+R81</f>
        <v>0</v>
      </c>
    </row>
    <row r="82" spans="1:19" ht="21.95" customHeight="1">
      <c r="A82" s="620"/>
      <c r="B82" s="476" t="s">
        <v>486</v>
      </c>
      <c r="C82" s="106"/>
      <c r="D82" s="106"/>
      <c r="E82" s="849">
        <f t="shared" si="10"/>
        <v>0</v>
      </c>
      <c r="F82" s="106"/>
      <c r="G82" s="849">
        <f t="shared" si="11"/>
        <v>0</v>
      </c>
      <c r="H82" s="106"/>
      <c r="I82" s="849">
        <f t="shared" si="12"/>
        <v>0</v>
      </c>
      <c r="J82" s="106"/>
      <c r="K82" s="849">
        <f t="shared" si="13"/>
        <v>0</v>
      </c>
      <c r="L82" s="790"/>
      <c r="M82" s="852">
        <f t="shared" si="14"/>
        <v>0</v>
      </c>
      <c r="N82" s="790"/>
      <c r="O82" s="852">
        <f t="shared" si="15"/>
        <v>0</v>
      </c>
      <c r="P82" s="790"/>
      <c r="Q82" s="852">
        <f t="shared" si="16"/>
        <v>0</v>
      </c>
      <c r="R82" s="790"/>
      <c r="S82" s="949">
        <f t="shared" si="17"/>
        <v>0</v>
      </c>
    </row>
    <row r="83" spans="1:19" ht="21.95" customHeight="1">
      <c r="A83" s="620"/>
      <c r="B83" s="477" t="s">
        <v>487</v>
      </c>
      <c r="C83" s="108"/>
      <c r="D83" s="108"/>
      <c r="E83" s="849">
        <f t="shared" si="10"/>
        <v>0</v>
      </c>
      <c r="F83" s="108"/>
      <c r="G83" s="849">
        <f t="shared" si="11"/>
        <v>0</v>
      </c>
      <c r="H83" s="108"/>
      <c r="I83" s="849">
        <f t="shared" si="12"/>
        <v>0</v>
      </c>
      <c r="J83" s="108"/>
      <c r="K83" s="849">
        <f t="shared" si="13"/>
        <v>0</v>
      </c>
      <c r="L83" s="805"/>
      <c r="M83" s="852">
        <f t="shared" si="14"/>
        <v>0</v>
      </c>
      <c r="N83" s="805"/>
      <c r="O83" s="852">
        <f t="shared" si="15"/>
        <v>0</v>
      </c>
      <c r="P83" s="805"/>
      <c r="Q83" s="852">
        <f t="shared" si="16"/>
        <v>0</v>
      </c>
      <c r="R83" s="805"/>
      <c r="S83" s="949">
        <f t="shared" si="17"/>
        <v>0</v>
      </c>
    </row>
    <row r="84" spans="1:19" s="952" customFormat="1" ht="20.100000000000001" customHeight="1">
      <c r="A84" s="622"/>
      <c r="B84" s="478" t="s">
        <v>591</v>
      </c>
      <c r="C84" s="104">
        <f>SUM($C$77:$C$83)</f>
        <v>0</v>
      </c>
      <c r="D84" s="104">
        <f>SUM($D$77:$D$83)</f>
        <v>0</v>
      </c>
      <c r="E84" s="948">
        <f t="shared" si="10"/>
        <v>0</v>
      </c>
      <c r="F84" s="104">
        <f>SUM($F$77:$F$83)</f>
        <v>0</v>
      </c>
      <c r="G84" s="948">
        <f t="shared" si="11"/>
        <v>0</v>
      </c>
      <c r="H84" s="104">
        <f>SUM($H$77:$H$83)</f>
        <v>0</v>
      </c>
      <c r="I84" s="948">
        <f t="shared" si="12"/>
        <v>0</v>
      </c>
      <c r="J84" s="104">
        <f>SUM($J$77:$J$83)</f>
        <v>0</v>
      </c>
      <c r="K84" s="948">
        <f t="shared" si="13"/>
        <v>0</v>
      </c>
      <c r="L84" s="807">
        <f>SUM($L$77:$L$83)</f>
        <v>0</v>
      </c>
      <c r="M84" s="949">
        <f t="shared" si="14"/>
        <v>0</v>
      </c>
      <c r="N84" s="807">
        <f>SUM($N$77:$N$83)</f>
        <v>0</v>
      </c>
      <c r="O84" s="949">
        <f t="shared" si="15"/>
        <v>0</v>
      </c>
      <c r="P84" s="807">
        <f>SUM($P$77:$P$83)</f>
        <v>0</v>
      </c>
      <c r="Q84" s="949">
        <f t="shared" si="16"/>
        <v>0</v>
      </c>
      <c r="R84" s="807">
        <f>SUM($R$77:$R$83)</f>
        <v>0</v>
      </c>
      <c r="S84" s="949">
        <f t="shared" si="17"/>
        <v>0</v>
      </c>
    </row>
    <row r="85" spans="1:19" ht="22.5" customHeight="1">
      <c r="A85" s="620"/>
      <c r="B85" s="479" t="s">
        <v>488</v>
      </c>
      <c r="C85" s="86"/>
      <c r="D85" s="86"/>
      <c r="E85" s="948">
        <f t="shared" si="10"/>
        <v>0</v>
      </c>
      <c r="F85" s="86"/>
      <c r="G85" s="948">
        <f t="shared" si="11"/>
        <v>0</v>
      </c>
      <c r="H85" s="86"/>
      <c r="I85" s="948">
        <f t="shared" si="12"/>
        <v>0</v>
      </c>
      <c r="J85" s="86"/>
      <c r="K85" s="948">
        <f t="shared" si="13"/>
        <v>0</v>
      </c>
      <c r="L85" s="783"/>
      <c r="M85" s="949">
        <f t="shared" si="14"/>
        <v>0</v>
      </c>
      <c r="N85" s="783"/>
      <c r="O85" s="949">
        <f t="shared" si="15"/>
        <v>0</v>
      </c>
      <c r="P85" s="783"/>
      <c r="Q85" s="949">
        <f t="shared" si="16"/>
        <v>0</v>
      </c>
      <c r="R85" s="783"/>
      <c r="S85" s="949">
        <f t="shared" si="17"/>
        <v>0</v>
      </c>
    </row>
    <row r="86" spans="1:19" ht="21.95" customHeight="1">
      <c r="A86" s="620"/>
      <c r="B86" s="83" t="s">
        <v>489</v>
      </c>
      <c r="C86" s="106"/>
      <c r="D86" s="106"/>
      <c r="E86" s="849">
        <f t="shared" si="10"/>
        <v>0</v>
      </c>
      <c r="F86" s="106"/>
      <c r="G86" s="849">
        <f t="shared" si="11"/>
        <v>0</v>
      </c>
      <c r="H86" s="106"/>
      <c r="I86" s="849">
        <f t="shared" si="12"/>
        <v>0</v>
      </c>
      <c r="J86" s="106"/>
      <c r="K86" s="849">
        <f t="shared" si="13"/>
        <v>0</v>
      </c>
      <c r="L86" s="790"/>
      <c r="M86" s="852">
        <f t="shared" si="14"/>
        <v>0</v>
      </c>
      <c r="N86" s="790"/>
      <c r="O86" s="852">
        <f t="shared" si="15"/>
        <v>0</v>
      </c>
      <c r="P86" s="790"/>
      <c r="Q86" s="852">
        <f t="shared" si="16"/>
        <v>0</v>
      </c>
      <c r="R86" s="790"/>
      <c r="S86" s="949">
        <f t="shared" si="17"/>
        <v>0</v>
      </c>
    </row>
    <row r="87" spans="1:19" ht="21.95" customHeight="1">
      <c r="A87" s="620"/>
      <c r="B87" s="476" t="s">
        <v>675</v>
      </c>
      <c r="C87" s="106"/>
      <c r="D87" s="106"/>
      <c r="E87" s="849">
        <f t="shared" si="10"/>
        <v>0</v>
      </c>
      <c r="F87" s="106"/>
      <c r="G87" s="849">
        <f t="shared" si="11"/>
        <v>0</v>
      </c>
      <c r="H87" s="106"/>
      <c r="I87" s="849">
        <f t="shared" si="12"/>
        <v>0</v>
      </c>
      <c r="J87" s="106"/>
      <c r="K87" s="849">
        <f t="shared" si="13"/>
        <v>0</v>
      </c>
      <c r="L87" s="790"/>
      <c r="M87" s="852">
        <f t="shared" si="14"/>
        <v>0</v>
      </c>
      <c r="N87" s="790"/>
      <c r="O87" s="852">
        <f t="shared" si="15"/>
        <v>0</v>
      </c>
      <c r="P87" s="790"/>
      <c r="Q87" s="852">
        <f t="shared" si="16"/>
        <v>0</v>
      </c>
      <c r="R87" s="790"/>
      <c r="S87" s="949">
        <f t="shared" si="17"/>
        <v>0</v>
      </c>
    </row>
    <row r="88" spans="1:19" ht="21.95" customHeight="1">
      <c r="A88" s="620"/>
      <c r="B88" s="476" t="s">
        <v>490</v>
      </c>
      <c r="C88" s="106"/>
      <c r="D88" s="106"/>
      <c r="E88" s="849">
        <f t="shared" si="10"/>
        <v>0</v>
      </c>
      <c r="F88" s="106"/>
      <c r="G88" s="849">
        <f t="shared" si="11"/>
        <v>0</v>
      </c>
      <c r="H88" s="106"/>
      <c r="I88" s="849">
        <f t="shared" si="12"/>
        <v>0</v>
      </c>
      <c r="J88" s="106"/>
      <c r="K88" s="849">
        <f t="shared" si="13"/>
        <v>0</v>
      </c>
      <c r="L88" s="790"/>
      <c r="M88" s="852">
        <f t="shared" si="14"/>
        <v>0</v>
      </c>
      <c r="N88" s="790"/>
      <c r="O88" s="852">
        <f t="shared" si="15"/>
        <v>0</v>
      </c>
      <c r="P88" s="790"/>
      <c r="Q88" s="852">
        <f t="shared" si="16"/>
        <v>0</v>
      </c>
      <c r="R88" s="790"/>
      <c r="S88" s="949">
        <f t="shared" si="17"/>
        <v>0</v>
      </c>
    </row>
    <row r="89" spans="1:19" ht="21.95" customHeight="1">
      <c r="A89" s="620"/>
      <c r="B89" s="476" t="s">
        <v>491</v>
      </c>
      <c r="C89" s="106"/>
      <c r="D89" s="106"/>
      <c r="E89" s="849">
        <f t="shared" si="10"/>
        <v>0</v>
      </c>
      <c r="F89" s="106"/>
      <c r="G89" s="849">
        <f t="shared" si="11"/>
        <v>0</v>
      </c>
      <c r="H89" s="106"/>
      <c r="I89" s="849">
        <f t="shared" si="12"/>
        <v>0</v>
      </c>
      <c r="J89" s="106"/>
      <c r="K89" s="849">
        <f t="shared" si="13"/>
        <v>0</v>
      </c>
      <c r="L89" s="790"/>
      <c r="M89" s="852">
        <f t="shared" si="14"/>
        <v>0</v>
      </c>
      <c r="N89" s="790"/>
      <c r="O89" s="852">
        <f t="shared" si="15"/>
        <v>0</v>
      </c>
      <c r="P89" s="790"/>
      <c r="Q89" s="852">
        <f t="shared" si="16"/>
        <v>0</v>
      </c>
      <c r="R89" s="790"/>
      <c r="S89" s="949">
        <f t="shared" si="17"/>
        <v>0</v>
      </c>
    </row>
    <row r="90" spans="1:19" ht="21.95" customHeight="1">
      <c r="A90" s="620"/>
      <c r="B90" s="476" t="s">
        <v>492</v>
      </c>
      <c r="C90" s="106"/>
      <c r="D90" s="106"/>
      <c r="E90" s="849">
        <f t="shared" si="10"/>
        <v>0</v>
      </c>
      <c r="F90" s="106"/>
      <c r="G90" s="849">
        <f t="shared" si="11"/>
        <v>0</v>
      </c>
      <c r="H90" s="106"/>
      <c r="I90" s="849">
        <f t="shared" si="12"/>
        <v>0</v>
      </c>
      <c r="J90" s="106"/>
      <c r="K90" s="849">
        <f t="shared" si="13"/>
        <v>0</v>
      </c>
      <c r="L90" s="790"/>
      <c r="M90" s="852">
        <f t="shared" si="14"/>
        <v>0</v>
      </c>
      <c r="N90" s="790"/>
      <c r="O90" s="852">
        <f t="shared" si="15"/>
        <v>0</v>
      </c>
      <c r="P90" s="790"/>
      <c r="Q90" s="852">
        <f t="shared" si="16"/>
        <v>0</v>
      </c>
      <c r="R90" s="790"/>
      <c r="S90" s="949">
        <f t="shared" si="17"/>
        <v>0</v>
      </c>
    </row>
    <row r="91" spans="1:19" ht="21.95" customHeight="1">
      <c r="A91" s="620"/>
      <c r="B91" s="477" t="s">
        <v>487</v>
      </c>
      <c r="C91" s="108"/>
      <c r="D91" s="108"/>
      <c r="E91" s="849">
        <f t="shared" si="10"/>
        <v>0</v>
      </c>
      <c r="F91" s="108"/>
      <c r="G91" s="849">
        <f t="shared" si="11"/>
        <v>0</v>
      </c>
      <c r="H91" s="108"/>
      <c r="I91" s="849">
        <f t="shared" si="12"/>
        <v>0</v>
      </c>
      <c r="J91" s="108"/>
      <c r="K91" s="849">
        <f t="shared" si="13"/>
        <v>0</v>
      </c>
      <c r="L91" s="805"/>
      <c r="M91" s="852">
        <f t="shared" si="14"/>
        <v>0</v>
      </c>
      <c r="N91" s="805"/>
      <c r="O91" s="852">
        <f t="shared" si="15"/>
        <v>0</v>
      </c>
      <c r="P91" s="805"/>
      <c r="Q91" s="852">
        <f t="shared" si="16"/>
        <v>0</v>
      </c>
      <c r="R91" s="805"/>
      <c r="S91" s="949">
        <f t="shared" si="17"/>
        <v>0</v>
      </c>
    </row>
    <row r="92" spans="1:19" s="952" customFormat="1" ht="20.100000000000001" customHeight="1">
      <c r="A92" s="622"/>
      <c r="B92" s="478" t="s">
        <v>592</v>
      </c>
      <c r="C92" s="104">
        <f>SUM($C$86:$C$91)</f>
        <v>0</v>
      </c>
      <c r="D92" s="104">
        <f>SUM($D$86:$D$91)</f>
        <v>0</v>
      </c>
      <c r="E92" s="948">
        <f t="shared" si="10"/>
        <v>0</v>
      </c>
      <c r="F92" s="104">
        <f>SUM($F$86:$F$91)</f>
        <v>0</v>
      </c>
      <c r="G92" s="948">
        <f t="shared" si="11"/>
        <v>0</v>
      </c>
      <c r="H92" s="104">
        <f>SUM($H$86:$H$91)</f>
        <v>0</v>
      </c>
      <c r="I92" s="948">
        <f t="shared" si="12"/>
        <v>0</v>
      </c>
      <c r="J92" s="104">
        <f>SUM($J$86:$J$91)</f>
        <v>0</v>
      </c>
      <c r="K92" s="948">
        <f t="shared" si="13"/>
        <v>0</v>
      </c>
      <c r="L92" s="807">
        <f>SUM($L$86:$L$91)</f>
        <v>0</v>
      </c>
      <c r="M92" s="949">
        <f t="shared" si="14"/>
        <v>0</v>
      </c>
      <c r="N92" s="807"/>
      <c r="O92" s="949">
        <f t="shared" si="15"/>
        <v>0</v>
      </c>
      <c r="P92" s="807"/>
      <c r="Q92" s="949">
        <f t="shared" si="16"/>
        <v>0</v>
      </c>
      <c r="R92" s="807"/>
      <c r="S92" s="949">
        <f t="shared" si="17"/>
        <v>0</v>
      </c>
    </row>
    <row r="93" spans="1:19" ht="21" customHeight="1">
      <c r="A93" s="620"/>
      <c r="B93" s="488" t="s">
        <v>493</v>
      </c>
      <c r="C93" s="95">
        <f>$C$84-$C$92</f>
        <v>0</v>
      </c>
      <c r="D93" s="95">
        <f>$D$84-$D$92</f>
        <v>0</v>
      </c>
      <c r="E93" s="948">
        <f t="shared" si="10"/>
        <v>0</v>
      </c>
      <c r="F93" s="95">
        <f>$F$84-$F$92</f>
        <v>0</v>
      </c>
      <c r="G93" s="948">
        <f t="shared" si="11"/>
        <v>0</v>
      </c>
      <c r="H93" s="95">
        <f>$H$84-$H$92</f>
        <v>0</v>
      </c>
      <c r="I93" s="948">
        <f t="shared" si="12"/>
        <v>0</v>
      </c>
      <c r="J93" s="95">
        <f>$J$84-$J$92</f>
        <v>0</v>
      </c>
      <c r="K93" s="948">
        <f t="shared" si="13"/>
        <v>0</v>
      </c>
      <c r="L93" s="95">
        <f>$L$84-$L$92</f>
        <v>0</v>
      </c>
      <c r="M93" s="949">
        <f t="shared" si="14"/>
        <v>0</v>
      </c>
      <c r="N93" s="95">
        <f>$N$84-$N$92</f>
        <v>0</v>
      </c>
      <c r="O93" s="949">
        <f t="shared" si="15"/>
        <v>0</v>
      </c>
      <c r="P93" s="95">
        <f>$P$84-$P$92</f>
        <v>0</v>
      </c>
      <c r="Q93" s="949">
        <f t="shared" si="16"/>
        <v>0</v>
      </c>
      <c r="R93" s="95">
        <f>$R$84-$R$92</f>
        <v>0</v>
      </c>
      <c r="S93" s="949">
        <f t="shared" si="17"/>
        <v>0</v>
      </c>
    </row>
    <row r="94" spans="1:19" ht="24" customHeight="1">
      <c r="A94" s="620"/>
      <c r="B94" s="489" t="s">
        <v>494</v>
      </c>
      <c r="C94" s="96">
        <f>'Analyse rétrospective (2)'!$I$13</f>
        <v>0</v>
      </c>
      <c r="D94" s="89">
        <f>$C$95</f>
        <v>0</v>
      </c>
      <c r="E94" s="948">
        <f t="shared" si="10"/>
        <v>0</v>
      </c>
      <c r="F94" s="89">
        <f>$D$95</f>
        <v>0</v>
      </c>
      <c r="G94" s="948">
        <f t="shared" si="11"/>
        <v>0</v>
      </c>
      <c r="H94" s="89">
        <f>$F$95</f>
        <v>0</v>
      </c>
      <c r="I94" s="948">
        <f t="shared" si="12"/>
        <v>0</v>
      </c>
      <c r="J94" s="89">
        <f>$H$95</f>
        <v>0</v>
      </c>
      <c r="K94" s="948">
        <f t="shared" si="13"/>
        <v>0</v>
      </c>
      <c r="L94" s="89">
        <f>$J$95</f>
        <v>0</v>
      </c>
      <c r="M94" s="949">
        <f t="shared" si="14"/>
        <v>0</v>
      </c>
      <c r="N94" s="89">
        <f>$L$95</f>
        <v>0</v>
      </c>
      <c r="O94" s="949">
        <f t="shared" si="15"/>
        <v>0</v>
      </c>
      <c r="P94" s="89">
        <f>$N$95</f>
        <v>0</v>
      </c>
      <c r="Q94" s="949">
        <f t="shared" si="16"/>
        <v>0</v>
      </c>
      <c r="R94" s="89">
        <f>$P$95</f>
        <v>0</v>
      </c>
      <c r="S94" s="949">
        <f t="shared" si="17"/>
        <v>0</v>
      </c>
    </row>
    <row r="95" spans="1:19" ht="17.25" customHeight="1" thickBot="1">
      <c r="A95" s="620"/>
      <c r="B95" s="490" t="s">
        <v>495</v>
      </c>
      <c r="C95" s="97">
        <f>$C$94+$C$93</f>
        <v>0</v>
      </c>
      <c r="D95" s="97">
        <f>$D$94+$D$93</f>
        <v>0</v>
      </c>
      <c r="E95" s="948">
        <f t="shared" si="10"/>
        <v>0</v>
      </c>
      <c r="F95" s="97">
        <f>$F$94+$F$93</f>
        <v>0</v>
      </c>
      <c r="G95" s="948">
        <f t="shared" si="11"/>
        <v>0</v>
      </c>
      <c r="H95" s="97">
        <f>$H$94+$H$93</f>
        <v>0</v>
      </c>
      <c r="I95" s="948">
        <f t="shared" si="12"/>
        <v>0</v>
      </c>
      <c r="J95" s="97">
        <f>$J$94+$J$93</f>
        <v>0</v>
      </c>
      <c r="K95" s="948">
        <f t="shared" si="13"/>
        <v>0</v>
      </c>
      <c r="L95" s="800">
        <f>$L$94+$L$93</f>
        <v>0</v>
      </c>
      <c r="M95" s="949">
        <f t="shared" si="14"/>
        <v>0</v>
      </c>
      <c r="N95" s="800">
        <f>$N$94+$N$93</f>
        <v>0</v>
      </c>
      <c r="O95" s="949">
        <f t="shared" si="15"/>
        <v>0</v>
      </c>
      <c r="P95" s="800">
        <f>$P$94+$P$93</f>
        <v>0</v>
      </c>
      <c r="Q95" s="949">
        <f t="shared" si="16"/>
        <v>0</v>
      </c>
      <c r="R95" s="800">
        <f>$R$94+$R$93</f>
        <v>0</v>
      </c>
      <c r="S95" s="949">
        <f t="shared" si="17"/>
        <v>0</v>
      </c>
    </row>
    <row r="96" spans="1:19" ht="30" customHeight="1">
      <c r="A96" s="626"/>
      <c r="B96" s="491" t="s">
        <v>496</v>
      </c>
      <c r="C96" s="98">
        <f>$C$49+$C$71-$C$93</f>
        <v>0</v>
      </c>
      <c r="D96" s="98">
        <f>$D$49+$D$71-$D$93</f>
        <v>0</v>
      </c>
      <c r="E96" s="948">
        <f t="shared" si="10"/>
        <v>0</v>
      </c>
      <c r="F96" s="98">
        <f>$F$49+$F$71-$F$93</f>
        <v>0</v>
      </c>
      <c r="G96" s="948">
        <f t="shared" si="11"/>
        <v>0</v>
      </c>
      <c r="H96" s="98">
        <f>$H$49+$H$71-$H$93</f>
        <v>0</v>
      </c>
      <c r="I96" s="948">
        <f t="shared" si="12"/>
        <v>0</v>
      </c>
      <c r="J96" s="98">
        <f>$J$49+$J$71-$J$93</f>
        <v>0</v>
      </c>
      <c r="K96" s="948">
        <f t="shared" si="13"/>
        <v>0</v>
      </c>
      <c r="L96" s="98">
        <f>$L$49+$L$71-$L$93</f>
        <v>0</v>
      </c>
      <c r="M96" s="949">
        <f t="shared" si="14"/>
        <v>0</v>
      </c>
      <c r="N96" s="98">
        <f>$N$49+$N$71-$N$93</f>
        <v>0</v>
      </c>
      <c r="O96" s="949">
        <f t="shared" si="15"/>
        <v>0</v>
      </c>
      <c r="P96" s="98">
        <f>$P$49+$P$71-$P$93</f>
        <v>0</v>
      </c>
      <c r="Q96" s="949">
        <f t="shared" si="16"/>
        <v>0</v>
      </c>
      <c r="R96" s="98">
        <f>$R$49+$R$71-$R$93</f>
        <v>0</v>
      </c>
      <c r="S96" s="949">
        <f t="shared" si="17"/>
        <v>0</v>
      </c>
    </row>
    <row r="97" spans="1:19" ht="24" customHeight="1">
      <c r="A97" s="624"/>
      <c r="B97" s="492" t="s">
        <v>497</v>
      </c>
      <c r="C97" s="99">
        <f>'Analyse rétrospective (1)'!$I$64</f>
        <v>0</v>
      </c>
      <c r="D97" s="100">
        <f>$C$98</f>
        <v>0</v>
      </c>
      <c r="E97" s="948">
        <f t="shared" si="10"/>
        <v>0</v>
      </c>
      <c r="F97" s="100">
        <f>$D$98</f>
        <v>0</v>
      </c>
      <c r="G97" s="948">
        <f t="shared" si="11"/>
        <v>0</v>
      </c>
      <c r="H97" s="100">
        <f>$F$98</f>
        <v>0</v>
      </c>
      <c r="I97" s="948">
        <f t="shared" si="12"/>
        <v>0</v>
      </c>
      <c r="J97" s="100">
        <f>$H$98</f>
        <v>0</v>
      </c>
      <c r="K97" s="948">
        <f t="shared" si="13"/>
        <v>0</v>
      </c>
      <c r="L97" s="100">
        <f>$J$98</f>
        <v>0</v>
      </c>
      <c r="M97" s="949">
        <f t="shared" si="14"/>
        <v>0</v>
      </c>
      <c r="N97" s="100">
        <f>$L$98</f>
        <v>0</v>
      </c>
      <c r="O97" s="949">
        <f t="shared" si="15"/>
        <v>0</v>
      </c>
      <c r="P97" s="100">
        <f>$N$98</f>
        <v>0</v>
      </c>
      <c r="Q97" s="949">
        <f t="shared" si="16"/>
        <v>0</v>
      </c>
      <c r="R97" s="100">
        <f>$P$98</f>
        <v>0</v>
      </c>
      <c r="S97" s="949">
        <f t="shared" si="17"/>
        <v>0</v>
      </c>
    </row>
    <row r="98" spans="1:19" ht="18" customHeight="1">
      <c r="A98" s="623"/>
      <c r="B98" s="493" t="s">
        <v>498</v>
      </c>
      <c r="C98" s="101">
        <f>$C$97+$C$96</f>
        <v>0</v>
      </c>
      <c r="D98" s="101">
        <f>$D$97+$D$96</f>
        <v>0</v>
      </c>
      <c r="E98" s="948">
        <f t="shared" si="10"/>
        <v>0</v>
      </c>
      <c r="F98" s="101">
        <f>$F$97+$F$96</f>
        <v>0</v>
      </c>
      <c r="G98" s="948">
        <f t="shared" si="11"/>
        <v>0</v>
      </c>
      <c r="H98" s="101">
        <f>$H$97+$H$96</f>
        <v>0</v>
      </c>
      <c r="I98" s="948">
        <f t="shared" si="12"/>
        <v>0</v>
      </c>
      <c r="J98" s="101">
        <f>$J$97+$J$96</f>
        <v>0</v>
      </c>
      <c r="K98" s="948">
        <f t="shared" si="13"/>
        <v>0</v>
      </c>
      <c r="L98" s="101">
        <f>$L$97+$L$96</f>
        <v>0</v>
      </c>
      <c r="M98" s="949">
        <f t="shared" si="14"/>
        <v>0</v>
      </c>
      <c r="N98" s="101">
        <f>$N$97+$N$96</f>
        <v>0</v>
      </c>
      <c r="O98" s="949">
        <f t="shared" si="15"/>
        <v>0</v>
      </c>
      <c r="P98" s="101">
        <f>$P$97+$P$96</f>
        <v>0</v>
      </c>
      <c r="Q98" s="949">
        <f t="shared" si="16"/>
        <v>0</v>
      </c>
      <c r="R98" s="101">
        <f>$R$97+$R$96</f>
        <v>0</v>
      </c>
      <c r="S98" s="949">
        <f t="shared" si="17"/>
        <v>0</v>
      </c>
    </row>
    <row r="99" spans="1:19" ht="17.25" customHeight="1">
      <c r="A99" s="620"/>
      <c r="B99" s="494" t="s">
        <v>499</v>
      </c>
      <c r="C99" s="86"/>
      <c r="D99" s="86"/>
      <c r="E99" s="948">
        <f t="shared" si="10"/>
        <v>0</v>
      </c>
      <c r="F99" s="86"/>
      <c r="G99" s="948">
        <f t="shared" si="11"/>
        <v>0</v>
      </c>
      <c r="H99" s="86"/>
      <c r="I99" s="948">
        <f t="shared" si="12"/>
        <v>0</v>
      </c>
      <c r="J99" s="86"/>
      <c r="K99" s="948">
        <f t="shared" si="13"/>
        <v>0</v>
      </c>
      <c r="L99" s="783"/>
      <c r="M99" s="949">
        <f t="shared" si="14"/>
        <v>0</v>
      </c>
      <c r="N99" s="783"/>
      <c r="O99" s="949">
        <f t="shared" si="15"/>
        <v>0</v>
      </c>
      <c r="P99" s="783"/>
      <c r="Q99" s="949">
        <f t="shared" si="16"/>
        <v>0</v>
      </c>
      <c r="R99" s="783"/>
      <c r="S99" s="949">
        <f t="shared" si="17"/>
        <v>0</v>
      </c>
    </row>
    <row r="100" spans="1:19" ht="21.95" customHeight="1">
      <c r="A100" s="620"/>
      <c r="B100" s="476" t="s">
        <v>593</v>
      </c>
      <c r="C100" s="106"/>
      <c r="D100" s="106"/>
      <c r="E100" s="849">
        <f t="shared" si="10"/>
        <v>0</v>
      </c>
      <c r="F100" s="106"/>
      <c r="G100" s="849">
        <f t="shared" si="11"/>
        <v>0</v>
      </c>
      <c r="H100" s="106"/>
      <c r="I100" s="849">
        <f t="shared" si="12"/>
        <v>0</v>
      </c>
      <c r="J100" s="106"/>
      <c r="K100" s="849">
        <f t="shared" si="13"/>
        <v>0</v>
      </c>
      <c r="L100" s="790"/>
      <c r="M100" s="852">
        <f t="shared" si="14"/>
        <v>0</v>
      </c>
      <c r="N100" s="790"/>
      <c r="O100" s="852">
        <f t="shared" si="15"/>
        <v>0</v>
      </c>
      <c r="P100" s="790"/>
      <c r="Q100" s="852">
        <f t="shared" si="16"/>
        <v>0</v>
      </c>
      <c r="R100" s="790"/>
      <c r="S100" s="949">
        <f t="shared" si="17"/>
        <v>0</v>
      </c>
    </row>
    <row r="101" spans="1:19" ht="21.95" customHeight="1">
      <c r="A101" s="620"/>
      <c r="B101" s="476" t="s">
        <v>503</v>
      </c>
      <c r="C101" s="106"/>
      <c r="D101" s="106"/>
      <c r="E101" s="849">
        <f t="shared" si="10"/>
        <v>0</v>
      </c>
      <c r="F101" s="106"/>
      <c r="G101" s="849">
        <f t="shared" si="11"/>
        <v>0</v>
      </c>
      <c r="H101" s="106"/>
      <c r="I101" s="849">
        <f t="shared" si="12"/>
        <v>0</v>
      </c>
      <c r="J101" s="106"/>
      <c r="K101" s="849">
        <f t="shared" si="13"/>
        <v>0</v>
      </c>
      <c r="L101" s="790"/>
      <c r="M101" s="852">
        <f t="shared" si="14"/>
        <v>0</v>
      </c>
      <c r="N101" s="790"/>
      <c r="O101" s="852">
        <f t="shared" si="15"/>
        <v>0</v>
      </c>
      <c r="P101" s="790"/>
      <c r="Q101" s="852">
        <f t="shared" si="16"/>
        <v>0</v>
      </c>
      <c r="R101" s="790"/>
      <c r="S101" s="949">
        <f t="shared" si="17"/>
        <v>0</v>
      </c>
    </row>
    <row r="102" spans="1:19" ht="21.95" customHeight="1">
      <c r="A102" s="620"/>
      <c r="B102" s="476" t="s">
        <v>500</v>
      </c>
      <c r="C102" s="106"/>
      <c r="D102" s="106"/>
      <c r="E102" s="849">
        <f t="shared" si="10"/>
        <v>0</v>
      </c>
      <c r="F102" s="106"/>
      <c r="G102" s="849">
        <f t="shared" si="11"/>
        <v>0</v>
      </c>
      <c r="H102" s="106"/>
      <c r="I102" s="849">
        <f t="shared" si="12"/>
        <v>0</v>
      </c>
      <c r="J102" s="106"/>
      <c r="K102" s="849">
        <f t="shared" si="13"/>
        <v>0</v>
      </c>
      <c r="L102" s="790"/>
      <c r="M102" s="852">
        <f t="shared" si="14"/>
        <v>0</v>
      </c>
      <c r="N102" s="790"/>
      <c r="O102" s="852">
        <f t="shared" si="15"/>
        <v>0</v>
      </c>
      <c r="P102" s="790"/>
      <c r="Q102" s="852">
        <f t="shared" si="16"/>
        <v>0</v>
      </c>
      <c r="R102" s="790"/>
      <c r="S102" s="949">
        <f t="shared" si="17"/>
        <v>0</v>
      </c>
    </row>
    <row r="103" spans="1:19" ht="21.95" customHeight="1" thickBot="1">
      <c r="A103" s="620"/>
      <c r="B103" s="476" t="s">
        <v>501</v>
      </c>
      <c r="C103" s="802"/>
      <c r="D103" s="802"/>
      <c r="E103" s="849">
        <f t="shared" si="10"/>
        <v>0</v>
      </c>
      <c r="F103" s="802"/>
      <c r="G103" s="849">
        <f t="shared" si="11"/>
        <v>0</v>
      </c>
      <c r="H103" s="802"/>
      <c r="I103" s="849">
        <f t="shared" si="12"/>
        <v>0</v>
      </c>
      <c r="J103" s="802"/>
      <c r="K103" s="849">
        <f t="shared" si="13"/>
        <v>0</v>
      </c>
      <c r="L103" s="805"/>
      <c r="M103" s="852">
        <f t="shared" si="14"/>
        <v>0</v>
      </c>
      <c r="N103" s="805"/>
      <c r="O103" s="852">
        <f t="shared" si="15"/>
        <v>0</v>
      </c>
      <c r="P103" s="805"/>
      <c r="Q103" s="852">
        <f t="shared" si="16"/>
        <v>0</v>
      </c>
      <c r="R103" s="805"/>
      <c r="S103" s="949">
        <f t="shared" si="17"/>
        <v>0</v>
      </c>
    </row>
    <row r="104" spans="1:19" s="950" customFormat="1" ht="35.1" customHeight="1" thickBot="1">
      <c r="A104" s="621"/>
      <c r="B104" s="495" t="s">
        <v>502</v>
      </c>
      <c r="C104" s="496">
        <f>$C$98+SUM($C$100:$C$103)</f>
        <v>0</v>
      </c>
      <c r="D104" s="496">
        <f>$D$98+SUM($D$100:$D$103)</f>
        <v>0</v>
      </c>
      <c r="E104" s="948">
        <f t="shared" si="10"/>
        <v>0</v>
      </c>
      <c r="F104" s="496">
        <f>$F$98+SUM($F$100:$F$103)</f>
        <v>0</v>
      </c>
      <c r="G104" s="948">
        <f t="shared" si="11"/>
        <v>0</v>
      </c>
      <c r="H104" s="496">
        <f>$H$98+SUM($H$100:$H$103)</f>
        <v>0</v>
      </c>
      <c r="I104" s="948">
        <f t="shared" si="12"/>
        <v>0</v>
      </c>
      <c r="J104" s="496">
        <f>$J$98+SUM($J$100:$J$103)</f>
        <v>0</v>
      </c>
      <c r="K104" s="948">
        <f t="shared" si="13"/>
        <v>0</v>
      </c>
      <c r="L104" s="801">
        <f>$L$98+SUM($L$100:$L$103)</f>
        <v>0</v>
      </c>
      <c r="M104" s="949">
        <f t="shared" si="14"/>
        <v>0</v>
      </c>
      <c r="N104" s="801">
        <f>$N$98+SUM($N$100:$N$103)</f>
        <v>0</v>
      </c>
      <c r="O104" s="949">
        <f t="shared" si="15"/>
        <v>0</v>
      </c>
      <c r="P104" s="801">
        <f>$P$98+SUM($P$100:$P$103)</f>
        <v>0</v>
      </c>
      <c r="Q104" s="949">
        <f t="shared" si="16"/>
        <v>0</v>
      </c>
      <c r="R104" s="801">
        <f>$R$98+SUM($R$100:$R$103)</f>
        <v>0</v>
      </c>
      <c r="S104" s="949">
        <f t="shared" si="17"/>
        <v>0</v>
      </c>
    </row>
    <row r="182" spans="2:2" ht="20.25">
      <c r="B182" s="953"/>
    </row>
  </sheetData>
  <sheetProtection algorithmName="SHA-512" hashValue="H3jjAAvc+JtV6wUIMxM/AZX07hCRw2fYX3NnFl3flNIZuAmW+3ycdn3sUZ4eWtS6Sh5MfoIxBG4Et5hrUbfX5Q==" saltValue="p1nkwlCxd6M/GWdA/IrVuQ==" spinCount="100000" sheet="1" objects="1" scenarios="1" selectLockedCells="1"/>
  <mergeCells count="2">
    <mergeCell ref="B4:B11"/>
    <mergeCell ref="B2:D2"/>
  </mergeCells>
  <conditionalFormatting sqref="D50:R50 D72:R72">
    <cfRule type="containsErrors" dxfId="30" priority="2">
      <formula>ISERROR(D50)</formula>
    </cfRule>
  </conditionalFormatting>
  <conditionalFormatting sqref="C51:R51 C73:R74">
    <cfRule type="containsErrors" dxfId="29" priority="1">
      <formula>ISERROR(C51)</formula>
    </cfRule>
  </conditionalFormatting>
  <printOptions horizontalCentered="1"/>
  <pageMargins left="0.19685039370078741" right="0.19685039370078741" top="0.43307086614173229" bottom="0.43307086614173229" header="0.23622047244094491" footer="0.23622047244094491"/>
  <pageSetup paperSize="9" scale="26" fitToWidth="2" fitToHeight="2" orientation="portrait" r:id="rId1"/>
  <headerFooter alignWithMargins="0"/>
  <ignoredErrors>
    <ignoredError sqref="R70 R84 R94:R95 R97:R98 R104 N27:N30 R27:R30 N104 N97:N98 N94:N95 N84 N70 P27:P30 P104 P97:P98 P94:P95 P84 P70" unlockedFormula="1"/>
    <ignoredError sqref="L50 D50 F50 H50 J50" evalError="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B1:Y37"/>
  <sheetViews>
    <sheetView view="pageBreakPreview" zoomScale="65" zoomScaleNormal="100" zoomScaleSheetLayoutView="65" zoomScalePageLayoutView="90" workbookViewId="0">
      <selection activeCell="B18" sqref="B18:F18"/>
    </sheetView>
  </sheetViews>
  <sheetFormatPr baseColWidth="10" defaultRowHeight="16.5"/>
  <cols>
    <col min="1" max="6" width="12.7109375" style="133" customWidth="1"/>
    <col min="7" max="7" width="15.7109375" style="133" customWidth="1"/>
    <col min="8" max="12" width="12.7109375" style="133" customWidth="1"/>
    <col min="13" max="18" width="11.42578125" style="133"/>
    <col min="19" max="24" width="12.7109375" style="133" customWidth="1"/>
    <col min="25" max="16384" width="11.42578125" style="133"/>
  </cols>
  <sheetData>
    <row r="1" spans="2:24" ht="17.25" thickBot="1"/>
    <row r="2" spans="2:24" ht="24.95" customHeight="1" thickBot="1">
      <c r="B2" s="2212" t="s">
        <v>408</v>
      </c>
      <c r="C2" s="2213"/>
      <c r="D2" s="2213"/>
      <c r="E2" s="2213"/>
      <c r="F2" s="2213"/>
      <c r="G2" s="2214"/>
    </row>
    <row r="3" spans="2:24" ht="16.5" customHeight="1">
      <c r="B3" s="464"/>
      <c r="C3" s="464"/>
      <c r="D3" s="464"/>
      <c r="E3" s="464"/>
      <c r="F3" s="464"/>
      <c r="G3" s="464"/>
    </row>
    <row r="4" spans="2:24" ht="16.5" customHeight="1">
      <c r="B4" s="1879" t="s">
        <v>670</v>
      </c>
      <c r="C4" s="1880"/>
      <c r="D4" s="1880"/>
      <c r="E4" s="1880"/>
      <c r="F4" s="1880"/>
      <c r="G4" s="1880"/>
      <c r="H4" s="1881"/>
      <c r="I4" s="591"/>
      <c r="M4" s="132"/>
    </row>
    <row r="5" spans="2:24" ht="16.5" customHeight="1">
      <c r="B5" s="1882"/>
      <c r="C5" s="1883"/>
      <c r="D5" s="1883"/>
      <c r="E5" s="1883"/>
      <c r="F5" s="1883"/>
      <c r="G5" s="1883"/>
      <c r="H5" s="1884"/>
      <c r="I5" s="591"/>
    </row>
    <row r="6" spans="2:24" ht="16.5" customHeight="1">
      <c r="B6" s="1882"/>
      <c r="C6" s="1883"/>
      <c r="D6" s="1883"/>
      <c r="E6" s="1883"/>
      <c r="F6" s="1883"/>
      <c r="G6" s="1883"/>
      <c r="H6" s="1884"/>
      <c r="I6" s="591"/>
    </row>
    <row r="7" spans="2:24" ht="16.5" customHeight="1">
      <c r="B7" s="1882"/>
      <c r="C7" s="1883"/>
      <c r="D7" s="1883"/>
      <c r="E7" s="1883"/>
      <c r="F7" s="1883"/>
      <c r="G7" s="1883"/>
      <c r="H7" s="1884"/>
      <c r="I7" s="591"/>
    </row>
    <row r="8" spans="2:24" ht="20.100000000000001" customHeight="1">
      <c r="B8" s="1882"/>
      <c r="C8" s="1883"/>
      <c r="D8" s="1883"/>
      <c r="E8" s="1883"/>
      <c r="F8" s="1883"/>
      <c r="G8" s="1883"/>
      <c r="H8" s="1884"/>
      <c r="I8" s="591"/>
    </row>
    <row r="9" spans="2:24" ht="20.100000000000001" customHeight="1">
      <c r="B9" s="1882"/>
      <c r="C9" s="1883"/>
      <c r="D9" s="1883"/>
      <c r="E9" s="1883"/>
      <c r="F9" s="1883"/>
      <c r="G9" s="1883"/>
      <c r="H9" s="1884"/>
      <c r="I9" s="591"/>
    </row>
    <row r="10" spans="2:24" ht="20.100000000000001" customHeight="1">
      <c r="B10" s="1885"/>
      <c r="C10" s="1886"/>
      <c r="D10" s="1886"/>
      <c r="E10" s="1886"/>
      <c r="F10" s="1886"/>
      <c r="G10" s="1886"/>
      <c r="H10" s="1887"/>
      <c r="I10" s="591"/>
    </row>
    <row r="11" spans="2:24" ht="16.5" customHeight="1"/>
    <row r="12" spans="2:24" ht="28.5" customHeight="1">
      <c r="B12" s="1888" t="s">
        <v>72</v>
      </c>
      <c r="C12" s="1888"/>
      <c r="D12" s="1888"/>
      <c r="E12" s="1888"/>
      <c r="F12" s="1888"/>
      <c r="G12" s="954">
        <f>'Bilan financier'!$E$17</f>
        <v>2019</v>
      </c>
      <c r="H12" s="664">
        <f>'Bilan financier'!$E$17+1</f>
        <v>2020</v>
      </c>
      <c r="I12" s="664">
        <f>'Bilan financier'!$E$17+2</f>
        <v>2021</v>
      </c>
      <c r="J12" s="664">
        <f>'Bilan financier'!$E$17+3</f>
        <v>2022</v>
      </c>
      <c r="K12" s="664">
        <f>'Bilan financier'!$E$17+4</f>
        <v>2023</v>
      </c>
      <c r="L12" s="664">
        <f>'Bilan financier'!$E$17+5</f>
        <v>2024</v>
      </c>
      <c r="M12" s="466"/>
      <c r="N12" s="1889" t="s">
        <v>72</v>
      </c>
      <c r="O12" s="1890"/>
      <c r="P12" s="1890"/>
      <c r="Q12" s="1890"/>
      <c r="R12" s="1891"/>
      <c r="S12" s="665">
        <f>'Bilan financier'!$E$17</f>
        <v>2019</v>
      </c>
      <c r="T12" s="666">
        <f>'Bilan financier'!$E$17+1</f>
        <v>2020</v>
      </c>
      <c r="U12" s="666">
        <f>'Bilan financier'!$E$17+2</f>
        <v>2021</v>
      </c>
      <c r="V12" s="666">
        <f>'Bilan financier'!$E$17+3</f>
        <v>2022</v>
      </c>
      <c r="W12" s="666">
        <f>'Bilan financier'!$E$17+4</f>
        <v>2023</v>
      </c>
      <c r="X12" s="666">
        <f>'Bilan financier'!$E$17+5</f>
        <v>2024</v>
      </c>
    </row>
    <row r="13" spans="2:24" ht="24.95" customHeight="1">
      <c r="B13" s="1864" t="s">
        <v>2194</v>
      </c>
      <c r="C13" s="1865"/>
      <c r="D13" s="1865"/>
      <c r="E13" s="1865"/>
      <c r="F13" s="1866"/>
      <c r="G13" s="753">
        <v>0</v>
      </c>
      <c r="H13" s="966"/>
      <c r="I13" s="966"/>
      <c r="J13" s="966"/>
      <c r="K13" s="966"/>
      <c r="L13" s="966"/>
      <c r="M13" s="466"/>
      <c r="N13" s="1892" t="s">
        <v>662</v>
      </c>
      <c r="O13" s="1893"/>
      <c r="P13" s="1893"/>
      <c r="Q13" s="1893"/>
      <c r="R13" s="1894"/>
      <c r="S13" s="753">
        <v>0</v>
      </c>
      <c r="T13" s="966"/>
      <c r="U13" s="966"/>
      <c r="V13" s="966"/>
      <c r="W13" s="966"/>
      <c r="X13" s="966"/>
    </row>
    <row r="14" spans="2:24" ht="24.95" customHeight="1">
      <c r="B14" s="2225" t="s">
        <v>2188</v>
      </c>
      <c r="C14" s="2226"/>
      <c r="D14" s="2226"/>
      <c r="E14" s="2226"/>
      <c r="F14" s="2227"/>
      <c r="G14" s="955"/>
      <c r="H14" s="967"/>
      <c r="I14" s="967"/>
      <c r="J14" s="967"/>
      <c r="K14" s="967"/>
      <c r="L14" s="967"/>
      <c r="M14" s="466"/>
      <c r="N14" s="2236" t="s">
        <v>2188</v>
      </c>
      <c r="O14" s="2237"/>
      <c r="P14" s="2237"/>
      <c r="Q14" s="2237"/>
      <c r="R14" s="2238"/>
      <c r="S14" s="956"/>
      <c r="T14" s="974"/>
      <c r="U14" s="974"/>
      <c r="V14" s="974"/>
      <c r="W14" s="974"/>
      <c r="X14" s="974"/>
    </row>
    <row r="15" spans="2:24" ht="24.95" customHeight="1">
      <c r="B15" s="1864" t="s">
        <v>2195</v>
      </c>
      <c r="C15" s="1865"/>
      <c r="D15" s="1865"/>
      <c r="E15" s="1865"/>
      <c r="F15" s="1866"/>
      <c r="G15" s="753">
        <v>0</v>
      </c>
      <c r="H15" s="966"/>
      <c r="I15" s="966"/>
      <c r="J15" s="966"/>
      <c r="K15" s="966"/>
      <c r="L15" s="966"/>
      <c r="N15" s="1892" t="s">
        <v>663</v>
      </c>
      <c r="O15" s="1893"/>
      <c r="P15" s="1893"/>
      <c r="Q15" s="1893"/>
      <c r="R15" s="1894"/>
      <c r="S15" s="753">
        <v>0</v>
      </c>
      <c r="T15" s="966"/>
      <c r="U15" s="966"/>
      <c r="V15" s="966"/>
      <c r="W15" s="966"/>
      <c r="X15" s="966"/>
    </row>
    <row r="16" spans="2:24" ht="24.95" customHeight="1">
      <c r="B16" s="2228" t="s">
        <v>2188</v>
      </c>
      <c r="C16" s="2229"/>
      <c r="D16" s="2229"/>
      <c r="E16" s="2229"/>
      <c r="F16" s="2230"/>
      <c r="G16" s="957"/>
      <c r="H16" s="968"/>
      <c r="I16" s="969"/>
      <c r="J16" s="969"/>
      <c r="K16" s="969"/>
      <c r="L16" s="970"/>
      <c r="N16" s="2239" t="s">
        <v>2190</v>
      </c>
      <c r="O16" s="2240"/>
      <c r="P16" s="2240"/>
      <c r="Q16" s="2240"/>
      <c r="R16" s="2241"/>
      <c r="S16" s="958"/>
      <c r="T16" s="975"/>
      <c r="U16" s="975"/>
      <c r="V16" s="975"/>
      <c r="W16" s="975"/>
      <c r="X16" s="975"/>
    </row>
    <row r="17" spans="2:24" ht="24.95" customHeight="1">
      <c r="B17" s="1862" t="s">
        <v>2196</v>
      </c>
      <c r="C17" s="1681"/>
      <c r="D17" s="1681"/>
      <c r="E17" s="1681"/>
      <c r="F17" s="1863"/>
      <c r="G17" s="754">
        <v>0</v>
      </c>
      <c r="H17" s="971"/>
      <c r="I17" s="971"/>
      <c r="J17" s="971"/>
      <c r="K17" s="971"/>
      <c r="L17" s="971"/>
      <c r="N17" s="1892" t="s">
        <v>664</v>
      </c>
      <c r="O17" s="1893"/>
      <c r="P17" s="1893"/>
      <c r="Q17" s="1893"/>
      <c r="R17" s="1894"/>
      <c r="S17" s="759">
        <v>0</v>
      </c>
      <c r="T17" s="657"/>
      <c r="U17" s="657"/>
      <c r="V17" s="657"/>
      <c r="W17" s="657"/>
      <c r="X17" s="657"/>
    </row>
    <row r="18" spans="2:24" ht="24.95" customHeight="1">
      <c r="B18" s="1870" t="s">
        <v>705</v>
      </c>
      <c r="C18" s="1871"/>
      <c r="D18" s="1871"/>
      <c r="E18" s="1871"/>
      <c r="F18" s="1872"/>
      <c r="G18" s="755">
        <v>0</v>
      </c>
      <c r="H18" s="694"/>
      <c r="I18" s="694"/>
      <c r="J18" s="694"/>
      <c r="K18" s="694"/>
      <c r="L18" s="694"/>
      <c r="N18" s="2236" t="s">
        <v>2188</v>
      </c>
      <c r="O18" s="2237"/>
      <c r="P18" s="2237"/>
      <c r="Q18" s="2237"/>
      <c r="R18" s="2238"/>
      <c r="S18" s="959"/>
      <c r="T18" s="760"/>
      <c r="U18" s="761"/>
      <c r="V18" s="761"/>
      <c r="W18" s="761"/>
      <c r="X18" s="761"/>
    </row>
    <row r="19" spans="2:24" ht="24.95" customHeight="1">
      <c r="B19" s="1870" t="s">
        <v>704</v>
      </c>
      <c r="C19" s="1871"/>
      <c r="D19" s="1871"/>
      <c r="E19" s="1871"/>
      <c r="F19" s="1872"/>
      <c r="G19" s="695"/>
      <c r="H19" s="696">
        <f>PPI!$T$534</f>
        <v>0</v>
      </c>
      <c r="I19" s="696">
        <f>PPI!$U$534</f>
        <v>0</v>
      </c>
      <c r="J19" s="696">
        <f>PPI!$V$534</f>
        <v>0</v>
      </c>
      <c r="K19" s="696">
        <f>PPI!$W$534</f>
        <v>0</v>
      </c>
      <c r="L19" s="696">
        <f>PPI!$X$534</f>
        <v>0</v>
      </c>
      <c r="N19" s="1892" t="s">
        <v>665</v>
      </c>
      <c r="O19" s="1893"/>
      <c r="P19" s="1893"/>
      <c r="Q19" s="1893"/>
      <c r="R19" s="1894"/>
      <c r="S19" s="762">
        <v>0</v>
      </c>
      <c r="T19" s="966"/>
      <c r="U19" s="966"/>
      <c r="V19" s="966"/>
      <c r="W19" s="966"/>
      <c r="X19" s="966"/>
    </row>
    <row r="20" spans="2:24" ht="24.95" customHeight="1" thickBot="1">
      <c r="B20" s="2231" t="s">
        <v>2188</v>
      </c>
      <c r="C20" s="2232"/>
      <c r="D20" s="2232"/>
      <c r="E20" s="2232"/>
      <c r="F20" s="2232"/>
      <c r="G20" s="960"/>
      <c r="H20" s="756"/>
      <c r="I20" s="757"/>
      <c r="J20" s="757"/>
      <c r="K20" s="757"/>
      <c r="L20" s="758"/>
      <c r="N20" s="1867" t="s">
        <v>702</v>
      </c>
      <c r="O20" s="1868"/>
      <c r="P20" s="1868"/>
      <c r="Q20" s="1868"/>
      <c r="R20" s="1869"/>
      <c r="S20" s="763">
        <v>0</v>
      </c>
      <c r="T20" s="657"/>
      <c r="U20" s="657"/>
      <c r="V20" s="657"/>
      <c r="W20" s="657"/>
      <c r="X20" s="657"/>
    </row>
    <row r="21" spans="2:24" ht="24.95" customHeight="1" thickBot="1">
      <c r="B21" s="2215" t="s">
        <v>397</v>
      </c>
      <c r="C21" s="2216"/>
      <c r="D21" s="2216"/>
      <c r="E21" s="2216"/>
      <c r="F21" s="2216"/>
      <c r="G21" s="2217">
        <f t="shared" ref="G21:L21" si="0">G13+G15+G17</f>
        <v>0</v>
      </c>
      <c r="H21" s="2217">
        <f t="shared" si="0"/>
        <v>0</v>
      </c>
      <c r="I21" s="2217">
        <f t="shared" si="0"/>
        <v>0</v>
      </c>
      <c r="J21" s="2217">
        <f t="shared" si="0"/>
        <v>0</v>
      </c>
      <c r="K21" s="2217">
        <f t="shared" si="0"/>
        <v>0</v>
      </c>
      <c r="L21" s="2217">
        <f t="shared" si="0"/>
        <v>0</v>
      </c>
      <c r="N21" s="1867" t="s">
        <v>703</v>
      </c>
      <c r="O21" s="1868"/>
      <c r="P21" s="1868"/>
      <c r="Q21" s="1868"/>
      <c r="R21" s="1869"/>
      <c r="S21" s="764"/>
      <c r="T21" s="645">
        <f>PPI!$T$534</f>
        <v>0</v>
      </c>
      <c r="U21" s="645">
        <f>PPI!$U$534</f>
        <v>0</v>
      </c>
      <c r="V21" s="645">
        <f>PPI!$V$534</f>
        <v>0</v>
      </c>
      <c r="W21" s="645">
        <f>PPI!$W$534</f>
        <v>0</v>
      </c>
      <c r="X21" s="645">
        <f>PPI!$X$534</f>
        <v>0</v>
      </c>
    </row>
    <row r="22" spans="2:24" ht="24.95" customHeight="1" thickBot="1">
      <c r="B22" s="642"/>
      <c r="C22" s="642"/>
      <c r="D22" s="642"/>
      <c r="E22" s="642"/>
      <c r="F22" s="642"/>
      <c r="G22" s="691"/>
      <c r="H22" s="692"/>
      <c r="I22" s="692"/>
      <c r="J22" s="692"/>
      <c r="K22" s="692"/>
      <c r="L22" s="692"/>
      <c r="N22" s="2242" t="s">
        <v>2188</v>
      </c>
      <c r="O22" s="2243"/>
      <c r="P22" s="2243"/>
      <c r="Q22" s="2243"/>
      <c r="R22" s="2244"/>
      <c r="S22" s="765"/>
      <c r="T22" s="976"/>
      <c r="U22" s="976"/>
      <c r="V22" s="976"/>
      <c r="W22" s="976"/>
      <c r="X22" s="976"/>
    </row>
    <row r="23" spans="2:24" ht="24.95" customHeight="1" thickBot="1">
      <c r="B23" s="642"/>
      <c r="C23" s="642"/>
      <c r="D23" s="642"/>
      <c r="E23" s="642"/>
      <c r="F23" s="642"/>
      <c r="G23" s="691"/>
      <c r="H23" s="692"/>
      <c r="I23" s="692"/>
      <c r="J23" s="692"/>
      <c r="K23" s="692"/>
      <c r="L23" s="692"/>
      <c r="N23" s="2218" t="s">
        <v>397</v>
      </c>
      <c r="O23" s="2219"/>
      <c r="P23" s="2219"/>
      <c r="Q23" s="2219"/>
      <c r="R23" s="2219"/>
      <c r="S23" s="2220">
        <f t="shared" ref="S23:X23" si="1">S13+S15+S17+S19</f>
        <v>0</v>
      </c>
      <c r="T23" s="2220">
        <f t="shared" si="1"/>
        <v>0</v>
      </c>
      <c r="U23" s="2220">
        <f t="shared" si="1"/>
        <v>0</v>
      </c>
      <c r="V23" s="2220">
        <f t="shared" si="1"/>
        <v>0</v>
      </c>
      <c r="W23" s="2220">
        <f t="shared" si="1"/>
        <v>0</v>
      </c>
      <c r="X23" s="2220">
        <f t="shared" si="1"/>
        <v>0</v>
      </c>
    </row>
    <row r="24" spans="2:24" ht="20.100000000000001" customHeight="1">
      <c r="B24" s="467"/>
      <c r="C24" s="467"/>
      <c r="D24" s="467"/>
      <c r="E24" s="467"/>
      <c r="F24" s="467"/>
      <c r="G24" s="643"/>
      <c r="H24" s="643"/>
      <c r="I24" s="644"/>
      <c r="J24" s="644"/>
      <c r="K24" s="644"/>
      <c r="L24" s="644"/>
      <c r="N24" s="635"/>
      <c r="O24" s="635"/>
      <c r="P24" s="635"/>
      <c r="Q24" s="635"/>
      <c r="R24" s="635"/>
      <c r="S24" s="635"/>
      <c r="T24" s="637"/>
      <c r="U24" s="637"/>
      <c r="V24" s="637"/>
      <c r="W24" s="637"/>
      <c r="X24" s="637"/>
    </row>
    <row r="25" spans="2:24" ht="24.95" customHeight="1">
      <c r="B25" s="1876" t="s">
        <v>73</v>
      </c>
      <c r="C25" s="1877"/>
      <c r="D25" s="1877"/>
      <c r="E25" s="1877"/>
      <c r="F25" s="1878"/>
      <c r="G25" s="954">
        <f>'Bilan financier'!$E$17</f>
        <v>2019</v>
      </c>
      <c r="H25" s="664">
        <f>'Bilan financier'!$E$17+1</f>
        <v>2020</v>
      </c>
      <c r="I25" s="664">
        <f>'Bilan financier'!$E$17+2</f>
        <v>2021</v>
      </c>
      <c r="J25" s="664">
        <f>'Bilan financier'!$E$17+3</f>
        <v>2022</v>
      </c>
      <c r="K25" s="664">
        <f>'Bilan financier'!$E$17+4</f>
        <v>2023</v>
      </c>
      <c r="L25" s="664">
        <f>'Bilan financier'!$E$17+5</f>
        <v>2024</v>
      </c>
      <c r="N25" s="1896" t="s">
        <v>73</v>
      </c>
      <c r="O25" s="1897"/>
      <c r="P25" s="1897"/>
      <c r="Q25" s="1897"/>
      <c r="R25" s="1898"/>
      <c r="S25" s="667">
        <f>'Bilan financier'!$E$17</f>
        <v>2019</v>
      </c>
      <c r="T25" s="668">
        <f>'Bilan financier'!$E$17+1</f>
        <v>2020</v>
      </c>
      <c r="U25" s="668">
        <f>'Bilan financier'!$E$17+2</f>
        <v>2021</v>
      </c>
      <c r="V25" s="668">
        <f>'Bilan financier'!$E$17+3</f>
        <v>2022</v>
      </c>
      <c r="W25" s="668">
        <f>'Bilan financier'!$E$17+4</f>
        <v>2023</v>
      </c>
      <c r="X25" s="668">
        <f>'Bilan financier'!$E$17+5</f>
        <v>2024</v>
      </c>
    </row>
    <row r="26" spans="2:24" ht="24.95" customHeight="1">
      <c r="B26" s="1864" t="s">
        <v>2193</v>
      </c>
      <c r="C26" s="1865"/>
      <c r="D26" s="1865"/>
      <c r="E26" s="1865"/>
      <c r="F26" s="1866"/>
      <c r="G26" s="753">
        <v>0</v>
      </c>
      <c r="H26" s="966"/>
      <c r="I26" s="966"/>
      <c r="J26" s="966"/>
      <c r="K26" s="966"/>
      <c r="L26" s="966"/>
      <c r="N26" s="1892" t="s">
        <v>762</v>
      </c>
      <c r="O26" s="1893"/>
      <c r="P26" s="1893"/>
      <c r="Q26" s="1893"/>
      <c r="R26" s="1894"/>
      <c r="S26" s="753">
        <v>0</v>
      </c>
      <c r="T26" s="966"/>
      <c r="U26" s="966"/>
      <c r="V26" s="966"/>
      <c r="W26" s="966"/>
      <c r="X26" s="966"/>
    </row>
    <row r="27" spans="2:24" ht="24.95" customHeight="1">
      <c r="B27" s="2228" t="s">
        <v>2189</v>
      </c>
      <c r="C27" s="2229"/>
      <c r="D27" s="2229"/>
      <c r="E27" s="2229"/>
      <c r="F27" s="2230"/>
      <c r="G27" s="961"/>
      <c r="H27" s="972"/>
      <c r="I27" s="972"/>
      <c r="J27" s="972"/>
      <c r="K27" s="972"/>
      <c r="L27" s="972"/>
      <c r="M27" s="693"/>
      <c r="N27" s="2236" t="s">
        <v>2189</v>
      </c>
      <c r="O27" s="2237"/>
      <c r="P27" s="2237"/>
      <c r="Q27" s="2237"/>
      <c r="R27" s="2238"/>
      <c r="S27" s="956"/>
      <c r="T27" s="974"/>
      <c r="U27" s="974"/>
      <c r="V27" s="974"/>
      <c r="W27" s="974"/>
      <c r="X27" s="974"/>
    </row>
    <row r="28" spans="2:24" ht="24.95" customHeight="1">
      <c r="B28" s="1862" t="s">
        <v>2192</v>
      </c>
      <c r="C28" s="1681"/>
      <c r="D28" s="1681"/>
      <c r="E28" s="1681"/>
      <c r="F28" s="1863"/>
      <c r="G28" s="759">
        <v>0</v>
      </c>
      <c r="H28" s="657"/>
      <c r="I28" s="657"/>
      <c r="J28" s="657"/>
      <c r="K28" s="657"/>
      <c r="L28" s="657"/>
      <c r="N28" s="1892" t="s">
        <v>763</v>
      </c>
      <c r="O28" s="1893"/>
      <c r="P28" s="1893"/>
      <c r="Q28" s="1893"/>
      <c r="R28" s="1894"/>
      <c r="S28" s="753">
        <v>0</v>
      </c>
      <c r="T28" s="966"/>
      <c r="U28" s="966"/>
      <c r="V28" s="966"/>
      <c r="W28" s="966"/>
      <c r="X28" s="966"/>
    </row>
    <row r="29" spans="2:24" ht="24.95" customHeight="1">
      <c r="B29" s="2228" t="s">
        <v>2189</v>
      </c>
      <c r="C29" s="2229"/>
      <c r="D29" s="2229"/>
      <c r="E29" s="2229"/>
      <c r="F29" s="2230"/>
      <c r="G29" s="961"/>
      <c r="H29" s="972"/>
      <c r="I29" s="972"/>
      <c r="J29" s="972"/>
      <c r="K29" s="972"/>
      <c r="L29" s="972"/>
      <c r="N29" s="2236" t="s">
        <v>2189</v>
      </c>
      <c r="O29" s="2237"/>
      <c r="P29" s="2237"/>
      <c r="Q29" s="2237"/>
      <c r="R29" s="2238"/>
      <c r="S29" s="962"/>
      <c r="T29" s="977"/>
      <c r="U29" s="977"/>
      <c r="V29" s="977"/>
      <c r="W29" s="977"/>
      <c r="X29" s="977"/>
    </row>
    <row r="30" spans="2:24" ht="24.95" customHeight="1">
      <c r="B30" s="1862" t="s">
        <v>2191</v>
      </c>
      <c r="C30" s="1681"/>
      <c r="D30" s="1681"/>
      <c r="E30" s="1681"/>
      <c r="F30" s="1863"/>
      <c r="G30" s="759">
        <v>0</v>
      </c>
      <c r="H30" s="657"/>
      <c r="I30" s="657"/>
      <c r="J30" s="657"/>
      <c r="K30" s="657"/>
      <c r="L30" s="657"/>
      <c r="N30" s="1892" t="s">
        <v>764</v>
      </c>
      <c r="O30" s="1893"/>
      <c r="P30" s="1893"/>
      <c r="Q30" s="1893"/>
      <c r="R30" s="1894"/>
      <c r="S30" s="759">
        <v>0</v>
      </c>
      <c r="T30" s="657"/>
      <c r="U30" s="657"/>
      <c r="V30" s="657"/>
      <c r="W30" s="657"/>
      <c r="X30" s="657"/>
    </row>
    <row r="31" spans="2:24" ht="24.95" customHeight="1" thickBot="1">
      <c r="B31" s="2233" t="s">
        <v>2189</v>
      </c>
      <c r="C31" s="2234"/>
      <c r="D31" s="2234"/>
      <c r="E31" s="2234"/>
      <c r="F31" s="2235"/>
      <c r="G31" s="963"/>
      <c r="H31" s="973"/>
      <c r="I31" s="973"/>
      <c r="J31" s="973"/>
      <c r="K31" s="973"/>
      <c r="L31" s="973"/>
      <c r="N31" s="2245" t="s">
        <v>2189</v>
      </c>
      <c r="O31" s="2246"/>
      <c r="P31" s="2246"/>
      <c r="Q31" s="2246"/>
      <c r="R31" s="2247"/>
      <c r="S31" s="964"/>
      <c r="T31" s="974"/>
      <c r="U31" s="974"/>
      <c r="V31" s="974"/>
      <c r="W31" s="974"/>
      <c r="X31" s="974"/>
    </row>
    <row r="32" spans="2:24" ht="24.95" customHeight="1" thickBot="1">
      <c r="B32" s="2221" t="s">
        <v>398</v>
      </c>
      <c r="C32" s="2222"/>
      <c r="D32" s="2222"/>
      <c r="E32" s="2222"/>
      <c r="F32" s="2223"/>
      <c r="G32" s="2224">
        <f t="shared" ref="G32:L32" si="2">G26+G28+G30</f>
        <v>0</v>
      </c>
      <c r="H32" s="2224">
        <f t="shared" si="2"/>
        <v>0</v>
      </c>
      <c r="I32" s="2224">
        <f t="shared" si="2"/>
        <v>0</v>
      </c>
      <c r="J32" s="2224">
        <f t="shared" si="2"/>
        <v>0</v>
      </c>
      <c r="K32" s="2224">
        <f t="shared" si="2"/>
        <v>0</v>
      </c>
      <c r="L32" s="2224">
        <f t="shared" si="2"/>
        <v>0</v>
      </c>
      <c r="N32" s="1899" t="s">
        <v>765</v>
      </c>
      <c r="O32" s="1900"/>
      <c r="P32" s="1900"/>
      <c r="Q32" s="1900"/>
      <c r="R32" s="1901"/>
      <c r="S32" s="766">
        <v>0</v>
      </c>
      <c r="T32" s="978"/>
      <c r="U32" s="978"/>
      <c r="V32" s="978"/>
      <c r="W32" s="978"/>
      <c r="X32" s="978"/>
    </row>
    <row r="33" spans="2:25" s="121" customFormat="1" ht="20.100000000000001" customHeight="1" thickBot="1">
      <c r="B33" s="133"/>
      <c r="C33" s="133"/>
      <c r="D33" s="133"/>
      <c r="E33" s="133"/>
      <c r="F33" s="133"/>
      <c r="G33" s="421"/>
      <c r="H33" s="421"/>
      <c r="I33" s="421"/>
      <c r="J33" s="421"/>
      <c r="K33" s="421"/>
      <c r="L33" s="421"/>
      <c r="N33" s="2231" t="s">
        <v>2189</v>
      </c>
      <c r="O33" s="2232"/>
      <c r="P33" s="2232"/>
      <c r="Q33" s="2232"/>
      <c r="R33" s="2248"/>
      <c r="S33" s="965"/>
      <c r="T33" s="975"/>
      <c r="U33" s="975"/>
      <c r="V33" s="975"/>
      <c r="W33" s="975"/>
      <c r="X33" s="975"/>
      <c r="Y33" s="133"/>
    </row>
    <row r="34" spans="2:25" ht="24.95" customHeight="1" thickBot="1">
      <c r="B34" s="1873" t="s">
        <v>597</v>
      </c>
      <c r="C34" s="1874"/>
      <c r="D34" s="1874"/>
      <c r="E34" s="1874"/>
      <c r="F34" s="1875"/>
      <c r="G34" s="680">
        <f>$G$32-$G$21</f>
        <v>0</v>
      </c>
      <c r="H34" s="589">
        <f>$H$32-$H$21</f>
        <v>0</v>
      </c>
      <c r="I34" s="589">
        <f>$I$32-$I$21</f>
        <v>0</v>
      </c>
      <c r="J34" s="589">
        <f>$J$32-$J$21</f>
        <v>0</v>
      </c>
      <c r="K34" s="589">
        <f>$K$32-$K$21</f>
        <v>0</v>
      </c>
      <c r="L34" s="589">
        <f>$L$32-$L$21</f>
        <v>0</v>
      </c>
      <c r="N34" s="2218" t="s">
        <v>398</v>
      </c>
      <c r="O34" s="2219"/>
      <c r="P34" s="2219"/>
      <c r="Q34" s="2219"/>
      <c r="R34" s="2219"/>
      <c r="S34" s="2220">
        <f t="shared" ref="S34:X34" si="3">S26+S28+S30+S32</f>
        <v>0</v>
      </c>
      <c r="T34" s="2220">
        <f t="shared" si="3"/>
        <v>0</v>
      </c>
      <c r="U34" s="2220">
        <f t="shared" si="3"/>
        <v>0</v>
      </c>
      <c r="V34" s="2220">
        <f t="shared" si="3"/>
        <v>0</v>
      </c>
      <c r="W34" s="2220">
        <f t="shared" si="3"/>
        <v>0</v>
      </c>
      <c r="X34" s="2220">
        <f t="shared" si="3"/>
        <v>0</v>
      </c>
    </row>
    <row r="35" spans="2:25">
      <c r="S35" s="767"/>
      <c r="T35" s="767"/>
      <c r="U35" s="767"/>
      <c r="V35" s="767"/>
      <c r="W35" s="767"/>
      <c r="X35" s="767"/>
    </row>
    <row r="36" spans="2:25">
      <c r="N36" s="1895" t="s">
        <v>597</v>
      </c>
      <c r="O36" s="1895"/>
      <c r="P36" s="1895"/>
      <c r="Q36" s="1895"/>
      <c r="R36" s="1895"/>
      <c r="S36" s="680">
        <f>$S$34-$S$23</f>
        <v>0</v>
      </c>
      <c r="T36" s="589">
        <f>$T$34-$T$23</f>
        <v>0</v>
      </c>
      <c r="U36" s="589">
        <f>$U$34-$U$23</f>
        <v>0</v>
      </c>
      <c r="V36" s="589">
        <f>$V$34-$V$23</f>
        <v>0</v>
      </c>
      <c r="W36" s="589">
        <f>$W$34-$W$23</f>
        <v>0</v>
      </c>
      <c r="X36" s="589">
        <f>$X$34-$X$23</f>
        <v>0</v>
      </c>
    </row>
    <row r="37" spans="2:25">
      <c r="Y37" s="121"/>
    </row>
  </sheetData>
  <sheetProtection algorithmName="SHA-512" hashValue="lsjsRHI1ZCyVTNFT3/Ho0drPD3TPalLBs9J/UyLzkK4XJAn4Cj+B0En7w89Qd448WrlzZt6B0LrdTEn9M5XmwA==" saltValue="1H1EEl7RTALg5lyz9ltyXQ==" spinCount="100000" sheet="1" objects="1" scenarios="1"/>
  <mergeCells count="44">
    <mergeCell ref="N36:R36"/>
    <mergeCell ref="N34:R34"/>
    <mergeCell ref="N20:R20"/>
    <mergeCell ref="N25:R25"/>
    <mergeCell ref="N19:R19"/>
    <mergeCell ref="N26:R26"/>
    <mergeCell ref="N28:R28"/>
    <mergeCell ref="N30:R30"/>
    <mergeCell ref="N29:R29"/>
    <mergeCell ref="N32:R32"/>
    <mergeCell ref="N33:R33"/>
    <mergeCell ref="N31:R31"/>
    <mergeCell ref="N12:R12"/>
    <mergeCell ref="N17:R17"/>
    <mergeCell ref="N15:R15"/>
    <mergeCell ref="B18:F18"/>
    <mergeCell ref="N14:R14"/>
    <mergeCell ref="N16:R16"/>
    <mergeCell ref="N13:R13"/>
    <mergeCell ref="N18:R18"/>
    <mergeCell ref="B2:G2"/>
    <mergeCell ref="B19:F19"/>
    <mergeCell ref="B30:F30"/>
    <mergeCell ref="B34:F34"/>
    <mergeCell ref="B32:F32"/>
    <mergeCell ref="B25:F25"/>
    <mergeCell ref="B4:H10"/>
    <mergeCell ref="B17:F17"/>
    <mergeCell ref="B15:F15"/>
    <mergeCell ref="B14:F14"/>
    <mergeCell ref="B16:F16"/>
    <mergeCell ref="B12:F12"/>
    <mergeCell ref="B21:F21"/>
    <mergeCell ref="B31:F31"/>
    <mergeCell ref="B13:F13"/>
    <mergeCell ref="B29:F29"/>
    <mergeCell ref="B27:F27"/>
    <mergeCell ref="B20:F20"/>
    <mergeCell ref="N27:R27"/>
    <mergeCell ref="N23:R23"/>
    <mergeCell ref="B28:F28"/>
    <mergeCell ref="B26:F26"/>
    <mergeCell ref="N22:R22"/>
    <mergeCell ref="N21:R21"/>
  </mergeCells>
  <conditionalFormatting sqref="S36:X36 G34:L34">
    <cfRule type="cellIs" dxfId="28" priority="3" operator="lessThan">
      <formula>0</formula>
    </cfRule>
    <cfRule type="cellIs" dxfId="27" priority="4" operator="greaterThan">
      <formula>0</formula>
    </cfRule>
  </conditionalFormatting>
  <pageMargins left="0.7" right="0.7" top="0.75" bottom="0.75" header="0.3" footer="0.3"/>
  <pageSetup paperSize="9" scale="26" orientation="landscape" r:id="rId1"/>
  <colBreaks count="1" manualBreakCount="1">
    <brk id="25" max="26" man="1"/>
  </colBreaks>
  <ignoredErrors>
    <ignoredError sqref="S36 T36:X36" unlocked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dimension ref="B1:AD282"/>
  <sheetViews>
    <sheetView view="pageBreakPreview" zoomScale="70" zoomScaleNormal="100" zoomScaleSheetLayoutView="70" workbookViewId="0">
      <selection activeCell="J2" sqref="J2"/>
    </sheetView>
  </sheetViews>
  <sheetFormatPr baseColWidth="10" defaultRowHeight="15"/>
  <cols>
    <col min="1" max="1" width="11.42578125" style="109"/>
    <col min="2" max="2" width="60.7109375" style="109" bestFit="1" customWidth="1"/>
    <col min="3" max="3" width="7.5703125" style="109" customWidth="1"/>
    <col min="4" max="16384" width="11.42578125" style="109"/>
  </cols>
  <sheetData>
    <row r="1" spans="2:30" ht="15.75" thickBot="1">
      <c r="B1" s="700"/>
      <c r="C1" s="701"/>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row>
    <row r="2" spans="2:30" ht="24.95" customHeight="1" thickBot="1">
      <c r="B2" s="2249" t="s">
        <v>722</v>
      </c>
      <c r="C2" s="979"/>
      <c r="D2" s="980"/>
      <c r="E2" s="980"/>
      <c r="F2" s="980"/>
      <c r="G2" s="980"/>
      <c r="H2" s="980"/>
      <c r="I2" s="702"/>
      <c r="J2" s="702"/>
      <c r="K2" s="702"/>
      <c r="L2" s="702"/>
      <c r="M2" s="702"/>
      <c r="N2" s="702"/>
      <c r="O2" s="702"/>
      <c r="P2" s="702"/>
      <c r="Q2" s="702"/>
      <c r="R2" s="702"/>
      <c r="S2" s="702"/>
      <c r="T2" s="702"/>
      <c r="U2" s="702"/>
      <c r="V2" s="702"/>
      <c r="W2" s="702"/>
      <c r="X2" s="702"/>
      <c r="Y2" s="702"/>
      <c r="Z2" s="702"/>
      <c r="AA2" s="702"/>
      <c r="AB2" s="702"/>
      <c r="AC2" s="702"/>
      <c r="AD2" s="702"/>
    </row>
    <row r="3" spans="2:30" ht="18">
      <c r="B3" s="979"/>
      <c r="C3" s="979"/>
      <c r="D3" s="980"/>
      <c r="E3" s="980"/>
      <c r="F3" s="980"/>
      <c r="G3" s="980"/>
      <c r="H3" s="980"/>
      <c r="I3" s="702"/>
      <c r="J3" s="702"/>
      <c r="K3" s="702"/>
      <c r="L3" s="702"/>
      <c r="M3" s="702"/>
      <c r="N3" s="702"/>
      <c r="O3" s="702"/>
      <c r="P3" s="702"/>
      <c r="Q3" s="702"/>
      <c r="R3" s="702"/>
      <c r="S3" s="702"/>
      <c r="T3" s="702"/>
      <c r="U3" s="702"/>
      <c r="V3" s="702"/>
      <c r="W3" s="702"/>
      <c r="X3" s="702"/>
      <c r="Y3" s="702"/>
      <c r="Z3" s="702"/>
      <c r="AA3" s="702"/>
      <c r="AB3" s="702"/>
      <c r="AC3" s="702"/>
      <c r="AD3" s="702"/>
    </row>
    <row r="4" spans="2:30" ht="18.75" thickBot="1">
      <c r="B4" s="981"/>
      <c r="C4" s="981"/>
      <c r="D4" s="982"/>
      <c r="E4" s="982"/>
      <c r="F4" s="982"/>
      <c r="G4" s="982"/>
      <c r="H4" s="982"/>
      <c r="I4" s="702"/>
      <c r="J4" s="702"/>
      <c r="K4" s="702"/>
      <c r="L4" s="702"/>
      <c r="M4" s="702"/>
      <c r="N4" s="702"/>
      <c r="O4" s="702"/>
      <c r="P4" s="702"/>
      <c r="Q4" s="702"/>
      <c r="R4" s="702"/>
      <c r="S4" s="702"/>
      <c r="T4" s="702"/>
      <c r="U4" s="702"/>
      <c r="V4" s="702"/>
      <c r="W4" s="702"/>
      <c r="X4" s="702"/>
      <c r="Y4" s="702"/>
      <c r="Z4" s="702"/>
      <c r="AA4" s="702"/>
      <c r="AB4" s="702"/>
      <c r="AC4" s="702"/>
      <c r="AD4" s="702"/>
    </row>
    <row r="5" spans="2:30" ht="15.75" thickBot="1">
      <c r="B5" s="983"/>
      <c r="C5" s="984"/>
      <c r="D5" s="985">
        <f>'Bilan financier'!$E$17+1</f>
        <v>2020</v>
      </c>
      <c r="E5" s="985">
        <f>'Bilan financier'!$E$17+2</f>
        <v>2021</v>
      </c>
      <c r="F5" s="985">
        <f>'Bilan financier'!$E$17+3</f>
        <v>2022</v>
      </c>
      <c r="G5" s="985">
        <f>'Bilan financier'!$E$17+4</f>
        <v>2023</v>
      </c>
      <c r="H5" s="985">
        <f>'Bilan financier'!$E$17+5</f>
        <v>2024</v>
      </c>
      <c r="I5" s="985">
        <f>'Bilan financier'!$E$17+6</f>
        <v>2025</v>
      </c>
      <c r="J5" s="985">
        <f>'Bilan financier'!$E$17+7</f>
        <v>2026</v>
      </c>
      <c r="K5" s="985">
        <f>'Bilan financier'!$E$17+8</f>
        <v>2027</v>
      </c>
      <c r="L5" s="986">
        <f>'Bilan financier'!$E$17+9</f>
        <v>2028</v>
      </c>
      <c r="M5" s="702"/>
      <c r="N5" s="702"/>
      <c r="O5" s="702"/>
      <c r="P5" s="702"/>
      <c r="Q5" s="702"/>
      <c r="R5" s="702"/>
      <c r="S5" s="702"/>
      <c r="T5" s="702"/>
      <c r="U5" s="702"/>
      <c r="V5" s="702"/>
      <c r="W5" s="702"/>
      <c r="X5" s="702"/>
      <c r="Y5" s="702"/>
      <c r="Z5" s="702"/>
      <c r="AA5" s="702"/>
      <c r="AB5" s="702"/>
      <c r="AC5" s="702"/>
      <c r="AD5" s="702"/>
    </row>
    <row r="6" spans="2:30" ht="27.75">
      <c r="B6" s="987" t="s">
        <v>726</v>
      </c>
      <c r="C6" s="988"/>
      <c r="D6" s="989"/>
      <c r="E6" s="989"/>
      <c r="F6" s="989"/>
      <c r="G6" s="989"/>
      <c r="H6" s="990"/>
      <c r="I6" s="842"/>
      <c r="J6" s="842"/>
      <c r="K6" s="842"/>
      <c r="L6" s="841"/>
      <c r="M6" s="702"/>
      <c r="N6" s="702"/>
      <c r="O6" s="702"/>
      <c r="P6" s="702"/>
      <c r="Q6" s="702"/>
      <c r="R6" s="702"/>
      <c r="S6" s="702"/>
      <c r="T6" s="702"/>
      <c r="U6" s="702"/>
      <c r="V6" s="702"/>
      <c r="W6" s="702"/>
      <c r="X6" s="702"/>
      <c r="Y6" s="702"/>
      <c r="Z6" s="702"/>
      <c r="AA6" s="702"/>
      <c r="AB6" s="702"/>
      <c r="AC6" s="702"/>
      <c r="AD6" s="702"/>
    </row>
    <row r="7" spans="2:30">
      <c r="B7" s="991" t="s">
        <v>706</v>
      </c>
      <c r="C7" s="1060" t="s">
        <v>707</v>
      </c>
      <c r="D7" s="1015"/>
      <c r="E7" s="1015"/>
      <c r="F7" s="1015"/>
      <c r="G7" s="1015"/>
      <c r="H7" s="1015"/>
      <c r="I7" s="1015"/>
      <c r="J7" s="1015"/>
      <c r="K7" s="1065"/>
      <c r="L7" s="1066"/>
      <c r="M7" s="702"/>
      <c r="N7" s="702"/>
      <c r="O7" s="702"/>
      <c r="P7" s="702"/>
      <c r="Q7" s="702"/>
      <c r="R7" s="702"/>
      <c r="S7" s="702"/>
      <c r="T7" s="702"/>
      <c r="U7" s="702"/>
      <c r="V7" s="702"/>
      <c r="W7" s="702"/>
      <c r="X7" s="702"/>
      <c r="Y7" s="702"/>
      <c r="Z7" s="702"/>
      <c r="AA7" s="702"/>
      <c r="AB7" s="702"/>
      <c r="AC7" s="702"/>
      <c r="AD7" s="702"/>
    </row>
    <row r="8" spans="2:30" ht="16.5">
      <c r="B8" s="992" t="s">
        <v>723</v>
      </c>
      <c r="C8" s="993"/>
      <c r="D8" s="994">
        <f>'Plan pluriannuel de financement'!$C$25</f>
        <v>0</v>
      </c>
      <c r="E8" s="994">
        <f>'Plan pluriannuel de financement'!$D$25</f>
        <v>0</v>
      </c>
      <c r="F8" s="994">
        <f>'Plan pluriannuel de financement'!$F$25</f>
        <v>0</v>
      </c>
      <c r="G8" s="994">
        <f>'Plan pluriannuel de financement'!$H$25</f>
        <v>0</v>
      </c>
      <c r="H8" s="995">
        <f>'Plan pluriannuel de financement'!$J$25</f>
        <v>0</v>
      </c>
      <c r="I8" s="995">
        <f>'Plan pluriannuel de financement'!$L$25</f>
        <v>0</v>
      </c>
      <c r="J8" s="995">
        <f>'Plan pluriannuel de financement'!$N$25</f>
        <v>0</v>
      </c>
      <c r="K8" s="995">
        <f>'Plan pluriannuel de financement'!$P$25</f>
        <v>0</v>
      </c>
      <c r="L8" s="996">
        <f>'Plan pluriannuel de financement'!$R$25</f>
        <v>0</v>
      </c>
      <c r="M8" s="702"/>
      <c r="N8" s="702"/>
      <c r="O8" s="702"/>
      <c r="P8" s="702"/>
      <c r="Q8" s="702"/>
      <c r="R8" s="702"/>
      <c r="S8" s="702"/>
      <c r="T8" s="702"/>
      <c r="U8" s="702"/>
      <c r="V8" s="702"/>
      <c r="W8" s="702"/>
      <c r="X8" s="702"/>
      <c r="Y8" s="702"/>
      <c r="Z8" s="702"/>
      <c r="AA8" s="702"/>
      <c r="AB8" s="702"/>
      <c r="AC8" s="702"/>
      <c r="AD8" s="702"/>
    </row>
    <row r="9" spans="2:30">
      <c r="B9" s="992" t="s">
        <v>708</v>
      </c>
      <c r="C9" s="1060" t="s">
        <v>709</v>
      </c>
      <c r="D9" s="994">
        <f>'Plan pluriannuel de financement'!$C$26</f>
        <v>0</v>
      </c>
      <c r="E9" s="994">
        <f>'Plan pluriannuel de financement'!$D$26</f>
        <v>0</v>
      </c>
      <c r="F9" s="994">
        <f>'Plan pluriannuel de financement'!$F$26</f>
        <v>0</v>
      </c>
      <c r="G9" s="994">
        <f>'Plan pluriannuel de financement'!$H$26</f>
        <v>0</v>
      </c>
      <c r="H9" s="995">
        <f>'Plan pluriannuel de financement'!$J$26</f>
        <v>0</v>
      </c>
      <c r="I9" s="995">
        <f>'Plan pluriannuel de financement'!$L$26</f>
        <v>0</v>
      </c>
      <c r="J9" s="995">
        <f>'Plan pluriannuel de financement'!$N$26</f>
        <v>0</v>
      </c>
      <c r="K9" s="995">
        <f>'Plan pluriannuel de financement'!$P$26</f>
        <v>0</v>
      </c>
      <c r="L9" s="996">
        <f>'Plan pluriannuel de financement'!$R$26</f>
        <v>0</v>
      </c>
      <c r="M9" s="702"/>
      <c r="N9" s="702"/>
      <c r="O9" s="702"/>
      <c r="P9" s="702"/>
      <c r="Q9" s="702"/>
      <c r="R9" s="702"/>
      <c r="S9" s="702"/>
      <c r="T9" s="702"/>
      <c r="U9" s="702"/>
      <c r="V9" s="702"/>
      <c r="W9" s="702"/>
      <c r="X9" s="702"/>
      <c r="Y9" s="702"/>
      <c r="Z9" s="702"/>
      <c r="AA9" s="702"/>
      <c r="AB9" s="702"/>
      <c r="AC9" s="702"/>
      <c r="AD9" s="702"/>
    </row>
    <row r="10" spans="2:30">
      <c r="B10" s="997" t="s">
        <v>710</v>
      </c>
      <c r="C10" s="998"/>
      <c r="D10" s="994">
        <f>'Plan pluriannuel de financement'!$C$31</f>
        <v>0</v>
      </c>
      <c r="E10" s="994">
        <f>'Plan pluriannuel de financement'!$D$31</f>
        <v>0</v>
      </c>
      <c r="F10" s="994">
        <f>'Plan pluriannuel de financement'!$F$31</f>
        <v>0</v>
      </c>
      <c r="G10" s="994">
        <f>'Plan pluriannuel de financement'!$H$31</f>
        <v>0</v>
      </c>
      <c r="H10" s="999">
        <f>'Plan pluriannuel de financement'!$J$31</f>
        <v>0</v>
      </c>
      <c r="I10" s="999">
        <f>'Plan pluriannuel de financement'!$L$31</f>
        <v>0</v>
      </c>
      <c r="J10" s="999">
        <f>'Plan pluriannuel de financement'!$N$31</f>
        <v>0</v>
      </c>
      <c r="K10" s="999">
        <f>'Plan pluriannuel de financement'!$P$31</f>
        <v>0</v>
      </c>
      <c r="L10" s="1000">
        <f>'Plan pluriannuel de financement'!$R$31</f>
        <v>0</v>
      </c>
      <c r="M10" s="702"/>
      <c r="N10" s="702"/>
      <c r="O10" s="702"/>
      <c r="P10" s="702"/>
      <c r="Q10" s="702"/>
      <c r="R10" s="702"/>
      <c r="S10" s="702"/>
      <c r="T10" s="702"/>
      <c r="U10" s="702"/>
      <c r="V10" s="702"/>
      <c r="W10" s="702"/>
      <c r="X10" s="702"/>
      <c r="Y10" s="702"/>
      <c r="Z10" s="702"/>
      <c r="AA10" s="702"/>
      <c r="AB10" s="702"/>
      <c r="AC10" s="702"/>
      <c r="AD10" s="702"/>
    </row>
    <row r="11" spans="2:30">
      <c r="B11" s="2256" t="s">
        <v>2197</v>
      </c>
      <c r="C11" s="2257"/>
      <c r="D11" s="2258">
        <f t="shared" ref="D11:L11" si="0">(SUM(D8:D10))-D7</f>
        <v>0</v>
      </c>
      <c r="E11" s="2258">
        <f t="shared" si="0"/>
        <v>0</v>
      </c>
      <c r="F11" s="2258">
        <f t="shared" si="0"/>
        <v>0</v>
      </c>
      <c r="G11" s="2258">
        <f t="shared" si="0"/>
        <v>0</v>
      </c>
      <c r="H11" s="2259">
        <f t="shared" si="0"/>
        <v>0</v>
      </c>
      <c r="I11" s="2259">
        <f t="shared" si="0"/>
        <v>0</v>
      </c>
      <c r="J11" s="2259">
        <f t="shared" si="0"/>
        <v>0</v>
      </c>
      <c r="K11" s="2259">
        <f t="shared" si="0"/>
        <v>0</v>
      </c>
      <c r="L11" s="2260">
        <f t="shared" si="0"/>
        <v>0</v>
      </c>
      <c r="M11" s="702"/>
      <c r="N11" s="702"/>
      <c r="O11" s="702"/>
      <c r="P11" s="702"/>
      <c r="Q11" s="702"/>
      <c r="R11" s="702"/>
      <c r="S11" s="702"/>
      <c r="T11" s="702"/>
      <c r="U11" s="702"/>
      <c r="V11" s="702"/>
      <c r="W11" s="702"/>
      <c r="X11" s="702"/>
      <c r="Y11" s="702"/>
      <c r="Z11" s="702"/>
      <c r="AA11" s="702"/>
      <c r="AB11" s="702"/>
      <c r="AC11" s="702"/>
      <c r="AD11" s="702"/>
    </row>
    <row r="12" spans="2:30" ht="15.75">
      <c r="B12" s="1001" t="s">
        <v>711</v>
      </c>
      <c r="C12" s="1002" t="s">
        <v>712</v>
      </c>
      <c r="D12" s="706"/>
      <c r="E12" s="706"/>
      <c r="F12" s="706"/>
      <c r="G12" s="706"/>
      <c r="H12" s="838"/>
      <c r="I12" s="1016"/>
      <c r="J12" s="1017"/>
      <c r="K12" s="1016"/>
      <c r="L12" s="1018"/>
      <c r="M12" s="702"/>
      <c r="N12" s="702"/>
      <c r="O12" s="702"/>
      <c r="P12" s="702"/>
      <c r="Q12" s="702"/>
      <c r="R12" s="702"/>
      <c r="S12" s="702"/>
      <c r="T12" s="702"/>
      <c r="U12" s="702"/>
      <c r="V12" s="702"/>
      <c r="W12" s="702"/>
      <c r="X12" s="702"/>
      <c r="Y12" s="702"/>
      <c r="Z12" s="702"/>
      <c r="AA12" s="702"/>
      <c r="AB12" s="702"/>
      <c r="AC12" s="702"/>
      <c r="AD12" s="702"/>
    </row>
    <row r="13" spans="2:30" ht="16.5">
      <c r="B13" s="992" t="s">
        <v>724</v>
      </c>
      <c r="C13" s="1902" t="s">
        <v>713</v>
      </c>
      <c r="D13" s="708"/>
      <c r="E13" s="708"/>
      <c r="F13" s="708"/>
      <c r="G13" s="708"/>
      <c r="H13" s="838"/>
      <c r="I13" s="1016"/>
      <c r="J13" s="1017"/>
      <c r="K13" s="1016"/>
      <c r="L13" s="1018"/>
      <c r="M13" s="702"/>
      <c r="N13" s="702"/>
      <c r="O13" s="702"/>
      <c r="P13" s="702"/>
      <c r="Q13" s="702"/>
      <c r="R13" s="702"/>
      <c r="S13" s="702"/>
      <c r="T13" s="702"/>
      <c r="U13" s="702"/>
      <c r="V13" s="702"/>
      <c r="W13" s="702"/>
      <c r="X13" s="702"/>
      <c r="Y13" s="702"/>
      <c r="Z13" s="702"/>
      <c r="AA13" s="702"/>
      <c r="AB13" s="702"/>
      <c r="AC13" s="702"/>
      <c r="AD13" s="702"/>
    </row>
    <row r="14" spans="2:30" ht="15.75">
      <c r="B14" s="997" t="s">
        <v>714</v>
      </c>
      <c r="C14" s="1903"/>
      <c r="D14" s="709"/>
      <c r="E14" s="709"/>
      <c r="F14" s="709"/>
      <c r="G14" s="709"/>
      <c r="H14" s="839"/>
      <c r="I14" s="1016"/>
      <c r="J14" s="1017"/>
      <c r="K14" s="1016"/>
      <c r="L14" s="1018"/>
      <c r="M14" s="702"/>
      <c r="N14" s="702"/>
      <c r="O14" s="702"/>
      <c r="P14" s="702"/>
      <c r="Q14" s="702"/>
      <c r="R14" s="702"/>
      <c r="S14" s="702"/>
      <c r="T14" s="702"/>
      <c r="U14" s="702"/>
      <c r="V14" s="702"/>
      <c r="W14" s="702"/>
      <c r="X14" s="702"/>
      <c r="Y14" s="702"/>
      <c r="Z14" s="702"/>
      <c r="AA14" s="702"/>
      <c r="AB14" s="702"/>
      <c r="AC14" s="702"/>
      <c r="AD14" s="702"/>
    </row>
    <row r="15" spans="2:30" ht="15.75" thickBot="1">
      <c r="B15" s="2261" t="s">
        <v>2198</v>
      </c>
      <c r="C15" s="2262"/>
      <c r="D15" s="2263">
        <f t="shared" ref="D15:L15" si="1">D14+D13-D12</f>
        <v>0</v>
      </c>
      <c r="E15" s="2263">
        <f t="shared" si="1"/>
        <v>0</v>
      </c>
      <c r="F15" s="2263">
        <f t="shared" si="1"/>
        <v>0</v>
      </c>
      <c r="G15" s="2263">
        <f t="shared" si="1"/>
        <v>0</v>
      </c>
      <c r="H15" s="2264">
        <f t="shared" si="1"/>
        <v>0</v>
      </c>
      <c r="I15" s="2264">
        <f t="shared" si="1"/>
        <v>0</v>
      </c>
      <c r="J15" s="2264">
        <f t="shared" si="1"/>
        <v>0</v>
      </c>
      <c r="K15" s="2264">
        <f t="shared" si="1"/>
        <v>0</v>
      </c>
      <c r="L15" s="2265">
        <f t="shared" si="1"/>
        <v>0</v>
      </c>
      <c r="M15" s="702"/>
      <c r="N15" s="702"/>
      <c r="O15" s="702"/>
      <c r="P15" s="702"/>
      <c r="Q15" s="702"/>
      <c r="R15" s="702"/>
      <c r="S15" s="702"/>
      <c r="T15" s="702"/>
      <c r="U15" s="702"/>
      <c r="V15" s="702"/>
      <c r="W15" s="702"/>
      <c r="X15" s="702"/>
      <c r="Y15" s="702"/>
      <c r="Z15" s="702"/>
      <c r="AA15" s="702"/>
      <c r="AB15" s="702"/>
      <c r="AC15" s="702"/>
      <c r="AD15" s="702"/>
    </row>
    <row r="16" spans="2:30" ht="16.5" thickBot="1">
      <c r="B16" s="1003"/>
      <c r="C16" s="1004"/>
      <c r="D16" s="1005"/>
      <c r="E16" s="1005"/>
      <c r="F16" s="1005"/>
      <c r="G16" s="1005"/>
      <c r="H16" s="1005"/>
      <c r="I16" s="836"/>
      <c r="J16" s="836"/>
      <c r="K16" s="836"/>
      <c r="L16" s="837"/>
      <c r="M16" s="702"/>
      <c r="N16" s="702"/>
      <c r="O16" s="702"/>
      <c r="P16" s="702"/>
      <c r="Q16" s="702"/>
      <c r="R16" s="702"/>
      <c r="S16" s="702"/>
      <c r="T16" s="702"/>
      <c r="U16" s="702"/>
      <c r="V16" s="702"/>
      <c r="W16" s="702"/>
      <c r="X16" s="702"/>
      <c r="Y16" s="702"/>
      <c r="Z16" s="702"/>
      <c r="AA16" s="702"/>
      <c r="AB16" s="702"/>
      <c r="AC16" s="702"/>
      <c r="AD16" s="702"/>
    </row>
    <row r="17" spans="2:30">
      <c r="B17" s="2266" t="s">
        <v>725</v>
      </c>
      <c r="C17" s="2267"/>
      <c r="D17" s="2268">
        <f t="shared" ref="D17:L17" si="2">SUM(D18:D21)</f>
        <v>0</v>
      </c>
      <c r="E17" s="2268">
        <f t="shared" si="2"/>
        <v>0</v>
      </c>
      <c r="F17" s="2268">
        <f t="shared" si="2"/>
        <v>0</v>
      </c>
      <c r="G17" s="2268">
        <f t="shared" si="2"/>
        <v>0</v>
      </c>
      <c r="H17" s="2269">
        <f t="shared" si="2"/>
        <v>0</v>
      </c>
      <c r="I17" s="2269">
        <f t="shared" si="2"/>
        <v>0</v>
      </c>
      <c r="J17" s="2269">
        <f t="shared" si="2"/>
        <v>0</v>
      </c>
      <c r="K17" s="2269">
        <f t="shared" si="2"/>
        <v>0</v>
      </c>
      <c r="L17" s="2270">
        <f t="shared" si="2"/>
        <v>0</v>
      </c>
      <c r="M17" s="702"/>
      <c r="N17" s="702"/>
      <c r="O17" s="702"/>
      <c r="P17" s="702"/>
      <c r="Q17" s="702"/>
      <c r="R17" s="702"/>
      <c r="S17" s="702"/>
      <c r="T17" s="702"/>
      <c r="U17" s="702"/>
      <c r="V17" s="702"/>
      <c r="W17" s="702"/>
      <c r="X17" s="702"/>
      <c r="Y17" s="702"/>
      <c r="Z17" s="702"/>
      <c r="AA17" s="702"/>
      <c r="AB17" s="702"/>
      <c r="AC17" s="702"/>
      <c r="AD17" s="702"/>
    </row>
    <row r="18" spans="2:30" ht="15.75">
      <c r="B18" s="1006" t="s">
        <v>715</v>
      </c>
      <c r="C18" s="1007"/>
      <c r="D18" s="706"/>
      <c r="E18" s="706"/>
      <c r="F18" s="706"/>
      <c r="G18" s="706"/>
      <c r="H18" s="838"/>
      <c r="I18" s="1016"/>
      <c r="J18" s="1016"/>
      <c r="K18" s="1016"/>
      <c r="L18" s="1018"/>
      <c r="M18" s="702"/>
      <c r="N18" s="702"/>
      <c r="O18" s="702"/>
      <c r="P18" s="702"/>
      <c r="Q18" s="702"/>
      <c r="R18" s="702"/>
      <c r="S18" s="702"/>
      <c r="T18" s="702"/>
      <c r="U18" s="702"/>
      <c r="V18" s="702"/>
      <c r="W18" s="702"/>
      <c r="X18" s="702"/>
      <c r="Y18" s="702"/>
      <c r="Z18" s="702"/>
      <c r="AA18" s="702"/>
      <c r="AB18" s="702"/>
      <c r="AC18" s="702"/>
      <c r="AD18" s="702"/>
    </row>
    <row r="19" spans="2:30" ht="15.75">
      <c r="B19" s="992" t="s">
        <v>716</v>
      </c>
      <c r="C19" s="1008"/>
      <c r="D19" s="706"/>
      <c r="E19" s="706"/>
      <c r="F19" s="706"/>
      <c r="G19" s="706"/>
      <c r="H19" s="838"/>
      <c r="I19" s="1016"/>
      <c r="J19" s="1016"/>
      <c r="K19" s="1016"/>
      <c r="L19" s="1018"/>
      <c r="M19" s="702"/>
      <c r="N19" s="702"/>
      <c r="O19" s="702"/>
      <c r="P19" s="702"/>
      <c r="Q19" s="702"/>
      <c r="R19" s="702"/>
      <c r="S19" s="702"/>
      <c r="T19" s="702"/>
      <c r="U19" s="702"/>
      <c r="V19" s="702"/>
      <c r="W19" s="702"/>
      <c r="X19" s="702"/>
      <c r="Y19" s="702"/>
      <c r="Z19" s="702"/>
      <c r="AA19" s="702"/>
      <c r="AB19" s="702"/>
      <c r="AC19" s="702"/>
      <c r="AD19" s="702"/>
    </row>
    <row r="20" spans="2:30" ht="15.75">
      <c r="B20" s="992" t="s">
        <v>717</v>
      </c>
      <c r="C20" s="1008"/>
      <c r="D20" s="706"/>
      <c r="E20" s="706"/>
      <c r="F20" s="706"/>
      <c r="G20" s="706"/>
      <c r="H20" s="838"/>
      <c r="I20" s="1016"/>
      <c r="J20" s="1016"/>
      <c r="K20" s="1016"/>
      <c r="L20" s="1018"/>
      <c r="M20" s="702"/>
      <c r="N20" s="702"/>
      <c r="O20" s="702"/>
      <c r="P20" s="702"/>
      <c r="Q20" s="702"/>
      <c r="R20" s="702"/>
      <c r="S20" s="702"/>
      <c r="T20" s="702"/>
      <c r="U20" s="702"/>
      <c r="V20" s="702"/>
      <c r="W20" s="702"/>
      <c r="X20" s="702"/>
      <c r="Y20" s="702"/>
      <c r="Z20" s="702"/>
      <c r="AA20" s="702"/>
      <c r="AB20" s="702"/>
      <c r="AC20" s="702"/>
      <c r="AD20" s="702"/>
    </row>
    <row r="21" spans="2:30" ht="16.5" thickBot="1">
      <c r="B21" s="992" t="s">
        <v>717</v>
      </c>
      <c r="C21" s="1009"/>
      <c r="D21" s="707"/>
      <c r="E21" s="707"/>
      <c r="F21" s="707"/>
      <c r="G21" s="707"/>
      <c r="H21" s="840"/>
      <c r="I21" s="1016"/>
      <c r="J21" s="1016"/>
      <c r="K21" s="1016"/>
      <c r="L21" s="1018"/>
      <c r="M21" s="702"/>
      <c r="N21" s="702"/>
      <c r="O21" s="702"/>
      <c r="P21" s="702"/>
      <c r="Q21" s="702"/>
      <c r="R21" s="702"/>
      <c r="S21" s="702"/>
      <c r="T21" s="702"/>
      <c r="U21" s="702"/>
      <c r="V21" s="702"/>
      <c r="W21" s="702"/>
      <c r="X21" s="702"/>
      <c r="Y21" s="702"/>
      <c r="Z21" s="702"/>
      <c r="AA21" s="702"/>
      <c r="AB21" s="702"/>
      <c r="AC21" s="702"/>
      <c r="AD21" s="702"/>
    </row>
    <row r="22" spans="2:30">
      <c r="B22" s="2266" t="s">
        <v>727</v>
      </c>
      <c r="C22" s="2267"/>
      <c r="D22" s="2268">
        <f t="shared" ref="D22:L22" si="3">SUM(D23:D26)</f>
        <v>0</v>
      </c>
      <c r="E22" s="2268">
        <f t="shared" si="3"/>
        <v>0</v>
      </c>
      <c r="F22" s="2268">
        <f t="shared" si="3"/>
        <v>0</v>
      </c>
      <c r="G22" s="2268">
        <f t="shared" si="3"/>
        <v>0</v>
      </c>
      <c r="H22" s="2269">
        <f t="shared" si="3"/>
        <v>0</v>
      </c>
      <c r="I22" s="2269">
        <f t="shared" si="3"/>
        <v>0</v>
      </c>
      <c r="J22" s="2269">
        <f t="shared" si="3"/>
        <v>0</v>
      </c>
      <c r="K22" s="2269">
        <f t="shared" si="3"/>
        <v>0</v>
      </c>
      <c r="L22" s="2270">
        <f t="shared" si="3"/>
        <v>0</v>
      </c>
      <c r="M22" s="702"/>
      <c r="N22" s="702"/>
      <c r="O22" s="702"/>
      <c r="P22" s="702"/>
      <c r="Q22" s="702"/>
      <c r="R22" s="702"/>
      <c r="S22" s="702"/>
      <c r="T22" s="702"/>
      <c r="U22" s="702"/>
      <c r="V22" s="702"/>
      <c r="W22" s="702"/>
      <c r="X22" s="702"/>
      <c r="Y22" s="702"/>
      <c r="Z22" s="702"/>
      <c r="AA22" s="702"/>
      <c r="AB22" s="702"/>
      <c r="AC22" s="702"/>
      <c r="AD22" s="702"/>
    </row>
    <row r="23" spans="2:30" ht="15.75">
      <c r="B23" s="1006" t="s">
        <v>718</v>
      </c>
      <c r="C23" s="1007"/>
      <c r="D23" s="706"/>
      <c r="E23" s="706"/>
      <c r="F23" s="706"/>
      <c r="G23" s="706"/>
      <c r="H23" s="838"/>
      <c r="I23" s="1016"/>
      <c r="J23" s="1016"/>
      <c r="K23" s="1016"/>
      <c r="L23" s="1018"/>
      <c r="M23" s="702"/>
      <c r="N23" s="702"/>
      <c r="O23" s="702"/>
      <c r="P23" s="702"/>
      <c r="Q23" s="702"/>
      <c r="R23" s="702"/>
      <c r="S23" s="702"/>
      <c r="T23" s="702"/>
      <c r="U23" s="702"/>
      <c r="V23" s="702"/>
      <c r="W23" s="702"/>
      <c r="X23" s="702"/>
      <c r="Y23" s="702"/>
      <c r="Z23" s="702"/>
      <c r="AA23" s="702"/>
      <c r="AB23" s="702"/>
      <c r="AC23" s="702"/>
      <c r="AD23" s="702"/>
    </row>
    <row r="24" spans="2:30" ht="15.75">
      <c r="B24" s="992" t="s">
        <v>717</v>
      </c>
      <c r="C24" s="1008"/>
      <c r="D24" s="706"/>
      <c r="E24" s="706"/>
      <c r="F24" s="706"/>
      <c r="G24" s="706"/>
      <c r="H24" s="838"/>
      <c r="I24" s="1016"/>
      <c r="J24" s="1016"/>
      <c r="K24" s="1016"/>
      <c r="L24" s="1018"/>
      <c r="M24" s="702"/>
      <c r="N24" s="702"/>
      <c r="O24" s="702"/>
      <c r="P24" s="702"/>
      <c r="Q24" s="702"/>
      <c r="R24" s="702"/>
      <c r="S24" s="702"/>
      <c r="T24" s="702"/>
      <c r="U24" s="702"/>
      <c r="V24" s="702"/>
      <c r="W24" s="702"/>
      <c r="X24" s="702"/>
      <c r="Y24" s="702"/>
      <c r="Z24" s="702"/>
      <c r="AA24" s="702"/>
      <c r="AB24" s="702"/>
      <c r="AC24" s="702"/>
      <c r="AD24" s="702"/>
    </row>
    <row r="25" spans="2:30" ht="15.75">
      <c r="B25" s="992" t="s">
        <v>717</v>
      </c>
      <c r="C25" s="1008"/>
      <c r="D25" s="706"/>
      <c r="E25" s="706"/>
      <c r="F25" s="706"/>
      <c r="G25" s="706"/>
      <c r="H25" s="838"/>
      <c r="I25" s="1016"/>
      <c r="J25" s="1016"/>
      <c r="K25" s="1016"/>
      <c r="L25" s="1018"/>
      <c r="M25" s="702"/>
      <c r="N25" s="702"/>
      <c r="O25" s="702"/>
      <c r="P25" s="702"/>
      <c r="Q25" s="702"/>
      <c r="R25" s="702"/>
      <c r="S25" s="702"/>
      <c r="T25" s="702"/>
      <c r="U25" s="702"/>
      <c r="V25" s="702"/>
      <c r="W25" s="702"/>
      <c r="X25" s="702"/>
      <c r="Y25" s="702"/>
      <c r="Z25" s="702"/>
      <c r="AA25" s="702"/>
      <c r="AB25" s="702"/>
      <c r="AC25" s="702"/>
      <c r="AD25" s="702"/>
    </row>
    <row r="26" spans="2:30" ht="16.5" thickBot="1">
      <c r="B26" s="992" t="s">
        <v>717</v>
      </c>
      <c r="C26" s="1008"/>
      <c r="D26" s="706"/>
      <c r="E26" s="706"/>
      <c r="F26" s="706"/>
      <c r="G26" s="706"/>
      <c r="H26" s="838"/>
      <c r="I26" s="1016"/>
      <c r="J26" s="1016"/>
      <c r="K26" s="1016"/>
      <c r="L26" s="1018"/>
      <c r="M26" s="702"/>
      <c r="N26" s="702"/>
      <c r="O26" s="702"/>
      <c r="P26" s="702"/>
      <c r="Q26" s="702"/>
      <c r="R26" s="702"/>
      <c r="S26" s="702"/>
      <c r="T26" s="702"/>
      <c r="U26" s="702"/>
      <c r="V26" s="702"/>
      <c r="W26" s="702"/>
      <c r="X26" s="702"/>
      <c r="Y26" s="702"/>
      <c r="Z26" s="702"/>
      <c r="AA26" s="702"/>
      <c r="AB26" s="702"/>
      <c r="AC26" s="702"/>
      <c r="AD26" s="702"/>
    </row>
    <row r="27" spans="2:30">
      <c r="B27" s="2266" t="s">
        <v>728</v>
      </c>
      <c r="C27" s="2267"/>
      <c r="D27" s="2268">
        <f t="shared" ref="D27:L27" si="4">SUM(D28:D32)</f>
        <v>0</v>
      </c>
      <c r="E27" s="2268">
        <f t="shared" si="4"/>
        <v>0</v>
      </c>
      <c r="F27" s="2268">
        <f t="shared" si="4"/>
        <v>0</v>
      </c>
      <c r="G27" s="2268">
        <f t="shared" si="4"/>
        <v>0</v>
      </c>
      <c r="H27" s="2269">
        <f t="shared" si="4"/>
        <v>0</v>
      </c>
      <c r="I27" s="2269">
        <f t="shared" si="4"/>
        <v>0</v>
      </c>
      <c r="J27" s="2269">
        <f t="shared" si="4"/>
        <v>0</v>
      </c>
      <c r="K27" s="2269">
        <f t="shared" si="4"/>
        <v>0</v>
      </c>
      <c r="L27" s="2270">
        <f t="shared" si="4"/>
        <v>0</v>
      </c>
      <c r="M27" s="702"/>
      <c r="N27" s="702"/>
      <c r="O27" s="702"/>
      <c r="P27" s="702"/>
      <c r="Q27" s="702"/>
      <c r="R27" s="702"/>
      <c r="S27" s="702"/>
      <c r="T27" s="702"/>
      <c r="U27" s="702"/>
      <c r="V27" s="702"/>
      <c r="W27" s="702"/>
      <c r="X27" s="702"/>
      <c r="Y27" s="702"/>
      <c r="Z27" s="702"/>
      <c r="AA27" s="702"/>
      <c r="AB27" s="702"/>
      <c r="AC27" s="702"/>
      <c r="AD27" s="702"/>
    </row>
    <row r="28" spans="2:30" ht="15.75">
      <c r="B28" s="1010" t="s">
        <v>719</v>
      </c>
      <c r="C28" s="1011"/>
      <c r="D28" s="706"/>
      <c r="E28" s="706"/>
      <c r="F28" s="706"/>
      <c r="G28" s="706"/>
      <c r="H28" s="838"/>
      <c r="I28" s="1016"/>
      <c r="J28" s="1016"/>
      <c r="K28" s="1016"/>
      <c r="L28" s="1018"/>
      <c r="M28" s="702"/>
      <c r="N28" s="702"/>
      <c r="O28" s="702"/>
      <c r="P28" s="702"/>
      <c r="Q28" s="702"/>
      <c r="R28" s="702"/>
      <c r="S28" s="702"/>
      <c r="T28" s="702"/>
      <c r="U28" s="702"/>
      <c r="V28" s="702"/>
      <c r="W28" s="702"/>
      <c r="X28" s="702"/>
      <c r="Y28" s="702"/>
      <c r="Z28" s="702"/>
      <c r="AA28" s="702"/>
      <c r="AB28" s="702"/>
      <c r="AC28" s="702"/>
      <c r="AD28" s="702"/>
    </row>
    <row r="29" spans="2:30" ht="15.75">
      <c r="B29" s="1010" t="s">
        <v>720</v>
      </c>
      <c r="C29" s="1012"/>
      <c r="D29" s="706"/>
      <c r="E29" s="706"/>
      <c r="F29" s="706"/>
      <c r="G29" s="706"/>
      <c r="H29" s="838"/>
      <c r="I29" s="1016"/>
      <c r="J29" s="1016"/>
      <c r="K29" s="1016"/>
      <c r="L29" s="1018"/>
      <c r="M29" s="702"/>
      <c r="N29" s="702"/>
      <c r="O29" s="702"/>
      <c r="P29" s="702"/>
      <c r="Q29" s="702"/>
      <c r="R29" s="702"/>
      <c r="S29" s="702"/>
      <c r="T29" s="702"/>
      <c r="U29" s="702"/>
      <c r="V29" s="702"/>
      <c r="W29" s="702"/>
      <c r="X29" s="702"/>
      <c r="Y29" s="702"/>
      <c r="Z29" s="702"/>
      <c r="AA29" s="702"/>
      <c r="AB29" s="702"/>
      <c r="AC29" s="702"/>
      <c r="AD29" s="702"/>
    </row>
    <row r="30" spans="2:30" ht="15.75">
      <c r="B30" s="1013"/>
      <c r="C30" s="1008"/>
      <c r="D30" s="706"/>
      <c r="E30" s="706"/>
      <c r="F30" s="706"/>
      <c r="G30" s="706"/>
      <c r="H30" s="838"/>
      <c r="I30" s="1016"/>
      <c r="J30" s="1016"/>
      <c r="K30" s="1016"/>
      <c r="L30" s="1018"/>
      <c r="M30" s="702"/>
      <c r="N30" s="702"/>
      <c r="O30" s="702"/>
      <c r="P30" s="702"/>
      <c r="Q30" s="702"/>
      <c r="R30" s="702"/>
      <c r="S30" s="702"/>
      <c r="T30" s="702"/>
      <c r="U30" s="702"/>
      <c r="V30" s="702"/>
      <c r="W30" s="702"/>
      <c r="X30" s="702"/>
      <c r="Y30" s="702"/>
      <c r="Z30" s="702"/>
      <c r="AA30" s="702"/>
      <c r="AB30" s="702"/>
      <c r="AC30" s="702"/>
      <c r="AD30" s="702"/>
    </row>
    <row r="31" spans="2:30" ht="15.75">
      <c r="B31" s="1013" t="s">
        <v>721</v>
      </c>
      <c r="C31" s="1008"/>
      <c r="D31" s="706"/>
      <c r="E31" s="706"/>
      <c r="F31" s="706"/>
      <c r="G31" s="706"/>
      <c r="H31" s="838"/>
      <c r="I31" s="1016"/>
      <c r="J31" s="1016"/>
      <c r="K31" s="1016"/>
      <c r="L31" s="1018"/>
      <c r="M31" s="702"/>
      <c r="N31" s="702"/>
      <c r="O31" s="702"/>
      <c r="P31" s="702"/>
      <c r="Q31" s="702"/>
      <c r="R31" s="702"/>
      <c r="S31" s="702"/>
      <c r="T31" s="702"/>
      <c r="U31" s="702"/>
      <c r="V31" s="702"/>
      <c r="W31" s="702"/>
      <c r="X31" s="702"/>
      <c r="Y31" s="702"/>
      <c r="Z31" s="702"/>
      <c r="AA31" s="702"/>
      <c r="AB31" s="702"/>
      <c r="AC31" s="702"/>
      <c r="AD31" s="702"/>
    </row>
    <row r="32" spans="2:30" ht="16.5" thickBot="1">
      <c r="B32" s="1014"/>
      <c r="C32" s="1009"/>
      <c r="D32" s="707"/>
      <c r="E32" s="707"/>
      <c r="F32" s="707"/>
      <c r="G32" s="707"/>
      <c r="H32" s="840"/>
      <c r="I32" s="1016"/>
      <c r="J32" s="1016"/>
      <c r="K32" s="1016"/>
      <c r="L32" s="1018"/>
      <c r="M32" s="702"/>
      <c r="N32" s="702"/>
      <c r="O32" s="702"/>
      <c r="P32" s="702"/>
      <c r="Q32" s="702"/>
      <c r="R32" s="702"/>
      <c r="S32" s="702"/>
      <c r="T32" s="702"/>
      <c r="U32" s="702"/>
      <c r="V32" s="702"/>
      <c r="W32" s="702"/>
      <c r="X32" s="702"/>
      <c r="Y32" s="702"/>
      <c r="Z32" s="702"/>
      <c r="AA32" s="702"/>
      <c r="AB32" s="702"/>
      <c r="AC32" s="702"/>
      <c r="AD32" s="702"/>
    </row>
    <row r="33" spans="2:30" ht="42.75" thickBot="1">
      <c r="B33" s="2250" t="s">
        <v>760</v>
      </c>
      <c r="C33" s="2251"/>
      <c r="D33" s="2252">
        <f t="shared" ref="D33:L33" si="5">D11+D15+D17+D22+D27</f>
        <v>0</v>
      </c>
      <c r="E33" s="2252">
        <f t="shared" si="5"/>
        <v>0</v>
      </c>
      <c r="F33" s="2252">
        <f t="shared" si="5"/>
        <v>0</v>
      </c>
      <c r="G33" s="2252">
        <f t="shared" si="5"/>
        <v>0</v>
      </c>
      <c r="H33" s="2253">
        <f t="shared" si="5"/>
        <v>0</v>
      </c>
      <c r="I33" s="2254">
        <f t="shared" si="5"/>
        <v>0</v>
      </c>
      <c r="J33" s="2254">
        <f t="shared" si="5"/>
        <v>0</v>
      </c>
      <c r="K33" s="2254">
        <f t="shared" si="5"/>
        <v>0</v>
      </c>
      <c r="L33" s="2255">
        <f t="shared" si="5"/>
        <v>0</v>
      </c>
      <c r="M33" s="702"/>
      <c r="N33" s="702"/>
      <c r="O33" s="702"/>
      <c r="P33" s="702"/>
      <c r="Q33" s="702"/>
      <c r="R33" s="702"/>
      <c r="S33" s="702"/>
      <c r="T33" s="702"/>
      <c r="U33" s="702"/>
      <c r="V33" s="702"/>
      <c r="W33" s="702"/>
      <c r="X33" s="702"/>
      <c r="Y33" s="702"/>
      <c r="Z33" s="702"/>
      <c r="AA33" s="702"/>
      <c r="AB33" s="702"/>
      <c r="AC33" s="702"/>
      <c r="AD33" s="702"/>
    </row>
    <row r="34" spans="2:30" ht="16.5" thickBot="1">
      <c r="B34" s="705"/>
      <c r="C34" s="705"/>
      <c r="D34" s="705"/>
      <c r="E34" s="705"/>
      <c r="F34" s="705"/>
      <c r="G34" s="705"/>
      <c r="H34" s="705"/>
      <c r="I34" s="705"/>
      <c r="J34" s="705"/>
      <c r="K34" s="705"/>
      <c r="L34" s="702"/>
      <c r="M34" s="702"/>
      <c r="N34" s="702"/>
      <c r="O34" s="702"/>
      <c r="P34" s="702"/>
      <c r="Q34" s="702"/>
      <c r="R34" s="702"/>
      <c r="S34" s="702"/>
      <c r="T34" s="702"/>
      <c r="U34" s="702"/>
      <c r="V34" s="702"/>
      <c r="W34" s="702"/>
      <c r="X34" s="702"/>
      <c r="Y34" s="702"/>
      <c r="Z34" s="702"/>
      <c r="AA34" s="702"/>
      <c r="AB34" s="702"/>
      <c r="AC34" s="702"/>
      <c r="AD34" s="702"/>
    </row>
    <row r="35" spans="2:30" ht="15.75">
      <c r="B35" s="1081" t="s">
        <v>897</v>
      </c>
      <c r="C35" s="1082"/>
      <c r="D35" s="1082"/>
      <c r="E35" s="1082"/>
      <c r="F35" s="1082"/>
      <c r="G35" s="1082"/>
      <c r="H35" s="1082"/>
      <c r="I35" s="1082"/>
      <c r="J35" s="1082"/>
      <c r="K35" s="1082"/>
      <c r="L35" s="841"/>
      <c r="M35" s="702"/>
      <c r="N35" s="702"/>
      <c r="O35" s="702"/>
      <c r="P35" s="702"/>
      <c r="Q35" s="702"/>
      <c r="R35" s="702"/>
      <c r="S35" s="702"/>
      <c r="T35" s="702"/>
      <c r="U35" s="702"/>
      <c r="V35" s="702"/>
      <c r="W35" s="702"/>
      <c r="X35" s="702"/>
      <c r="Y35" s="702"/>
      <c r="Z35" s="702"/>
      <c r="AA35" s="702"/>
      <c r="AB35" s="702"/>
      <c r="AC35" s="702"/>
      <c r="AD35" s="702"/>
    </row>
    <row r="36" spans="2:30" ht="15.75">
      <c r="B36" s="1083"/>
      <c r="C36" s="1084"/>
      <c r="D36" s="1084"/>
      <c r="E36" s="1084"/>
      <c r="F36" s="1084"/>
      <c r="G36" s="1084"/>
      <c r="H36" s="1084"/>
      <c r="I36" s="1084"/>
      <c r="J36" s="1084"/>
      <c r="K36" s="1084"/>
      <c r="L36" s="1085"/>
      <c r="M36" s="702"/>
      <c r="N36" s="702"/>
      <c r="O36" s="702"/>
      <c r="P36" s="702"/>
      <c r="Q36" s="702"/>
      <c r="R36" s="702"/>
      <c r="S36" s="702"/>
      <c r="T36" s="702"/>
      <c r="U36" s="702"/>
      <c r="V36" s="702"/>
      <c r="W36" s="702"/>
      <c r="X36" s="702"/>
      <c r="Y36" s="702"/>
      <c r="Z36" s="702"/>
      <c r="AA36" s="702"/>
      <c r="AB36" s="702"/>
      <c r="AC36" s="702"/>
      <c r="AD36" s="702"/>
    </row>
    <row r="37" spans="2:30" ht="15.75">
      <c r="B37" s="1083"/>
      <c r="C37" s="1084"/>
      <c r="D37" s="1084"/>
      <c r="E37" s="1084"/>
      <c r="F37" s="1084"/>
      <c r="G37" s="1084"/>
      <c r="H37" s="1084"/>
      <c r="I37" s="1084"/>
      <c r="J37" s="1084"/>
      <c r="K37" s="1084"/>
      <c r="L37" s="1085"/>
      <c r="M37" s="702"/>
      <c r="N37" s="702"/>
      <c r="O37" s="702"/>
      <c r="P37" s="702"/>
      <c r="Q37" s="702"/>
      <c r="R37" s="702"/>
      <c r="S37" s="702"/>
      <c r="T37" s="702"/>
      <c r="U37" s="702"/>
      <c r="V37" s="702"/>
      <c r="W37" s="702"/>
      <c r="X37" s="702"/>
      <c r="Y37" s="702"/>
      <c r="Z37" s="702"/>
      <c r="AA37" s="702"/>
      <c r="AB37" s="702"/>
      <c r="AC37" s="702"/>
      <c r="AD37" s="702"/>
    </row>
    <row r="38" spans="2:30" ht="15.75">
      <c r="B38" s="1083"/>
      <c r="C38" s="1084"/>
      <c r="D38" s="1084"/>
      <c r="E38" s="1084"/>
      <c r="F38" s="1084"/>
      <c r="G38" s="1084"/>
      <c r="H38" s="1084"/>
      <c r="I38" s="1084"/>
      <c r="J38" s="1084"/>
      <c r="K38" s="1084"/>
      <c r="L38" s="1085"/>
      <c r="M38" s="702"/>
      <c r="N38" s="702"/>
      <c r="O38" s="702"/>
      <c r="P38" s="702"/>
      <c r="Q38" s="702"/>
      <c r="R38" s="702"/>
      <c r="S38" s="702"/>
      <c r="T38" s="702"/>
      <c r="U38" s="702"/>
      <c r="V38" s="702"/>
      <c r="W38" s="702"/>
      <c r="X38" s="702"/>
      <c r="Y38" s="702"/>
      <c r="Z38" s="702"/>
      <c r="AA38" s="702"/>
      <c r="AB38" s="702"/>
      <c r="AC38" s="702"/>
      <c r="AD38" s="702"/>
    </row>
    <row r="39" spans="2:30" ht="15.75">
      <c r="B39" s="1083"/>
      <c r="C39" s="1084"/>
      <c r="D39" s="1084"/>
      <c r="E39" s="1084"/>
      <c r="F39" s="1084"/>
      <c r="G39" s="1084"/>
      <c r="H39" s="1084"/>
      <c r="I39" s="1084"/>
      <c r="J39" s="1084"/>
      <c r="K39" s="1084"/>
      <c r="L39" s="1085"/>
      <c r="M39" s="702"/>
      <c r="N39" s="702"/>
      <c r="O39" s="702"/>
      <c r="P39" s="702"/>
      <c r="Q39" s="702"/>
      <c r="R39" s="702"/>
      <c r="S39" s="702"/>
      <c r="T39" s="702"/>
      <c r="U39" s="702"/>
      <c r="V39" s="702"/>
      <c r="W39" s="702"/>
      <c r="X39" s="702"/>
      <c r="Y39" s="702"/>
      <c r="Z39" s="702"/>
      <c r="AA39" s="702"/>
      <c r="AB39" s="702"/>
      <c r="AC39" s="702"/>
      <c r="AD39" s="702"/>
    </row>
    <row r="40" spans="2:30" ht="15.75">
      <c r="B40" s="1083"/>
      <c r="C40" s="1084"/>
      <c r="D40" s="1084"/>
      <c r="E40" s="1084"/>
      <c r="F40" s="1084"/>
      <c r="G40" s="1084"/>
      <c r="H40" s="1084"/>
      <c r="I40" s="1084"/>
      <c r="J40" s="1084"/>
      <c r="K40" s="1084"/>
      <c r="L40" s="1085"/>
      <c r="M40" s="702"/>
      <c r="N40" s="702"/>
      <c r="O40" s="702"/>
      <c r="P40" s="702"/>
      <c r="Q40" s="702"/>
      <c r="R40" s="702"/>
      <c r="S40" s="702"/>
      <c r="T40" s="702"/>
      <c r="U40" s="702"/>
      <c r="V40" s="702"/>
      <c r="W40" s="702"/>
      <c r="X40" s="702"/>
      <c r="Y40" s="702"/>
      <c r="Z40" s="702"/>
      <c r="AA40" s="702"/>
      <c r="AB40" s="702"/>
      <c r="AC40" s="702"/>
      <c r="AD40" s="702"/>
    </row>
    <row r="41" spans="2:30" ht="15.75">
      <c r="B41" s="1083"/>
      <c r="C41" s="1084"/>
      <c r="D41" s="1084"/>
      <c r="E41" s="1084"/>
      <c r="F41" s="1084"/>
      <c r="G41" s="1084"/>
      <c r="H41" s="1084"/>
      <c r="I41" s="1084"/>
      <c r="J41" s="1084"/>
      <c r="K41" s="1084"/>
      <c r="L41" s="1085"/>
      <c r="M41" s="702"/>
      <c r="N41" s="702"/>
      <c r="O41" s="702"/>
      <c r="P41" s="702"/>
      <c r="Q41" s="702"/>
      <c r="R41" s="702"/>
      <c r="S41" s="702"/>
      <c r="T41" s="702"/>
      <c r="U41" s="702"/>
      <c r="V41" s="702"/>
      <c r="W41" s="702"/>
      <c r="X41" s="702"/>
      <c r="Y41" s="702"/>
      <c r="Z41" s="702"/>
      <c r="AA41" s="702"/>
      <c r="AB41" s="702"/>
      <c r="AC41" s="702"/>
      <c r="AD41" s="702"/>
    </row>
    <row r="42" spans="2:30" ht="16.5" thickBot="1">
      <c r="B42" s="1086"/>
      <c r="C42" s="1087"/>
      <c r="D42" s="1087"/>
      <c r="E42" s="1087"/>
      <c r="F42" s="1087"/>
      <c r="G42" s="1087"/>
      <c r="H42" s="1087"/>
      <c r="I42" s="1087"/>
      <c r="J42" s="1087"/>
      <c r="K42" s="1087"/>
      <c r="L42" s="1088"/>
      <c r="M42" s="702"/>
      <c r="N42" s="702"/>
      <c r="O42" s="702"/>
      <c r="P42" s="702"/>
      <c r="Q42" s="702"/>
      <c r="R42" s="702"/>
      <c r="S42" s="702"/>
      <c r="T42" s="702"/>
      <c r="U42" s="702"/>
      <c r="V42" s="702"/>
      <c r="W42" s="702"/>
      <c r="X42" s="702"/>
      <c r="Y42" s="702"/>
      <c r="Z42" s="702"/>
      <c r="AA42" s="702"/>
      <c r="AB42" s="702"/>
      <c r="AC42" s="702"/>
      <c r="AD42" s="702"/>
    </row>
    <row r="43" spans="2:30" ht="15.75">
      <c r="B43" s="705"/>
      <c r="C43" s="705"/>
      <c r="D43" s="705"/>
      <c r="E43" s="705"/>
      <c r="F43" s="705"/>
      <c r="G43" s="705"/>
      <c r="H43" s="705"/>
      <c r="I43" s="705"/>
      <c r="J43" s="705"/>
      <c r="K43" s="705"/>
      <c r="L43" s="702"/>
      <c r="M43" s="702"/>
      <c r="N43" s="702"/>
      <c r="O43" s="702"/>
      <c r="P43" s="702"/>
      <c r="Q43" s="702"/>
      <c r="R43" s="702"/>
      <c r="S43" s="702"/>
      <c r="T43" s="702"/>
      <c r="U43" s="702"/>
      <c r="V43" s="702"/>
      <c r="W43" s="702"/>
      <c r="X43" s="702"/>
      <c r="Y43" s="702"/>
      <c r="Z43" s="702"/>
      <c r="AA43" s="702"/>
      <c r="AB43" s="702"/>
      <c r="AC43" s="702"/>
      <c r="AD43" s="702"/>
    </row>
    <row r="44" spans="2:30" ht="15.75">
      <c r="B44" s="705"/>
      <c r="C44" s="705"/>
      <c r="D44" s="705"/>
      <c r="E44" s="705"/>
      <c r="F44" s="705"/>
      <c r="G44" s="705"/>
      <c r="H44" s="705"/>
      <c r="I44" s="705"/>
      <c r="J44" s="705"/>
      <c r="K44" s="705"/>
      <c r="L44" s="702"/>
      <c r="M44" s="702"/>
      <c r="N44" s="702"/>
      <c r="O44" s="702"/>
      <c r="P44" s="702"/>
      <c r="Q44" s="702"/>
      <c r="R44" s="702"/>
      <c r="S44" s="702"/>
      <c r="T44" s="702"/>
      <c r="U44" s="702"/>
      <c r="V44" s="702"/>
      <c r="W44" s="702"/>
      <c r="X44" s="702"/>
      <c r="Y44" s="702"/>
      <c r="Z44" s="702"/>
      <c r="AA44" s="702"/>
      <c r="AB44" s="702"/>
      <c r="AC44" s="702"/>
      <c r="AD44" s="702"/>
    </row>
    <row r="45" spans="2:30" ht="15.75">
      <c r="B45" s="705"/>
      <c r="C45" s="705"/>
      <c r="D45" s="705"/>
      <c r="E45" s="705"/>
      <c r="F45" s="705"/>
      <c r="G45" s="705"/>
      <c r="H45" s="705"/>
      <c r="I45" s="705"/>
      <c r="J45" s="705"/>
      <c r="K45" s="705"/>
      <c r="L45" s="702"/>
      <c r="M45" s="702"/>
      <c r="N45" s="702"/>
      <c r="O45" s="702"/>
      <c r="P45" s="702"/>
      <c r="Q45" s="702"/>
      <c r="R45" s="702"/>
      <c r="S45" s="702"/>
      <c r="T45" s="702"/>
      <c r="U45" s="702"/>
      <c r="V45" s="702"/>
      <c r="W45" s="702"/>
      <c r="X45" s="702"/>
      <c r="Y45" s="702"/>
      <c r="Z45" s="702"/>
      <c r="AA45" s="702"/>
      <c r="AB45" s="702"/>
      <c r="AC45" s="702"/>
      <c r="AD45" s="702"/>
    </row>
    <row r="46" spans="2:30" ht="15.75">
      <c r="B46" s="705"/>
      <c r="C46" s="705"/>
      <c r="D46" s="705"/>
      <c r="E46" s="705"/>
      <c r="F46" s="705"/>
      <c r="G46" s="705"/>
      <c r="H46" s="705"/>
      <c r="I46" s="705"/>
      <c r="J46" s="705"/>
      <c r="K46" s="705"/>
      <c r="L46" s="702"/>
      <c r="M46" s="702"/>
      <c r="N46" s="702"/>
      <c r="O46" s="702"/>
      <c r="P46" s="702"/>
      <c r="Q46" s="702"/>
      <c r="R46" s="702"/>
      <c r="S46" s="702"/>
      <c r="T46" s="702"/>
      <c r="U46" s="702"/>
      <c r="V46" s="702"/>
      <c r="W46" s="702"/>
      <c r="X46" s="702"/>
      <c r="Y46" s="702"/>
      <c r="Z46" s="702"/>
      <c r="AA46" s="702"/>
      <c r="AB46" s="702"/>
      <c r="AC46" s="702"/>
      <c r="AD46" s="702"/>
    </row>
    <row r="47" spans="2:30" ht="15.75">
      <c r="B47" s="705"/>
      <c r="C47" s="705"/>
      <c r="D47" s="705"/>
      <c r="E47" s="705"/>
      <c r="F47" s="705"/>
      <c r="G47" s="705"/>
      <c r="H47" s="705"/>
      <c r="I47" s="705"/>
      <c r="J47" s="705"/>
      <c r="K47" s="705"/>
      <c r="L47" s="702"/>
      <c r="M47" s="702"/>
      <c r="N47" s="702"/>
      <c r="O47" s="702"/>
      <c r="P47" s="702"/>
      <c r="Q47" s="702"/>
      <c r="R47" s="702"/>
      <c r="S47" s="702"/>
      <c r="T47" s="702"/>
      <c r="U47" s="702"/>
      <c r="V47" s="702"/>
      <c r="W47" s="702"/>
      <c r="X47" s="702"/>
      <c r="Y47" s="702"/>
      <c r="Z47" s="702"/>
      <c r="AA47" s="702"/>
      <c r="AB47" s="702"/>
      <c r="AC47" s="702"/>
      <c r="AD47" s="702"/>
    </row>
    <row r="48" spans="2:30" ht="15.75">
      <c r="B48" s="705"/>
      <c r="C48" s="705"/>
      <c r="D48" s="705"/>
      <c r="E48" s="705"/>
      <c r="F48" s="705"/>
      <c r="G48" s="705"/>
      <c r="H48" s="705"/>
      <c r="I48" s="705"/>
      <c r="J48" s="705"/>
      <c r="K48" s="705"/>
      <c r="L48" s="702"/>
      <c r="M48" s="702"/>
      <c r="N48" s="702"/>
      <c r="O48" s="702"/>
      <c r="P48" s="702"/>
      <c r="Q48" s="702"/>
      <c r="R48" s="702"/>
      <c r="S48" s="702"/>
      <c r="T48" s="702"/>
      <c r="U48" s="702"/>
      <c r="V48" s="702"/>
      <c r="W48" s="702"/>
      <c r="X48" s="702"/>
      <c r="Y48" s="702"/>
      <c r="Z48" s="702"/>
      <c r="AA48" s="702"/>
      <c r="AB48" s="702"/>
      <c r="AC48" s="702"/>
      <c r="AD48" s="702"/>
    </row>
    <row r="49" spans="2:30" ht="15.75">
      <c r="B49" s="705"/>
      <c r="C49" s="705"/>
      <c r="D49" s="705"/>
      <c r="E49" s="705"/>
      <c r="F49" s="705"/>
      <c r="G49" s="705"/>
      <c r="H49" s="705"/>
      <c r="I49" s="705"/>
      <c r="J49" s="705"/>
      <c r="K49" s="705"/>
      <c r="L49" s="702"/>
      <c r="M49" s="702"/>
      <c r="N49" s="702"/>
      <c r="O49" s="702"/>
      <c r="P49" s="702"/>
      <c r="Q49" s="702"/>
      <c r="R49" s="702"/>
      <c r="S49" s="702"/>
      <c r="T49" s="702"/>
      <c r="U49" s="702"/>
      <c r="V49" s="702"/>
      <c r="W49" s="702"/>
      <c r="X49" s="702"/>
      <c r="Y49" s="702"/>
      <c r="Z49" s="702"/>
      <c r="AA49" s="702"/>
      <c r="AB49" s="702"/>
      <c r="AC49" s="702"/>
      <c r="AD49" s="702"/>
    </row>
    <row r="50" spans="2:30" ht="15.75">
      <c r="B50" s="705"/>
      <c r="C50" s="705"/>
      <c r="D50" s="705"/>
      <c r="E50" s="705"/>
      <c r="F50" s="705"/>
      <c r="G50" s="705"/>
      <c r="H50" s="705"/>
      <c r="I50" s="705"/>
      <c r="J50" s="705"/>
      <c r="K50" s="705"/>
      <c r="L50" s="702"/>
      <c r="M50" s="702"/>
      <c r="N50" s="702"/>
      <c r="O50" s="702"/>
      <c r="P50" s="702"/>
      <c r="Q50" s="702"/>
      <c r="R50" s="702"/>
      <c r="S50" s="702"/>
      <c r="T50" s="702"/>
      <c r="U50" s="702"/>
      <c r="V50" s="702"/>
      <c r="W50" s="702"/>
      <c r="X50" s="702"/>
      <c r="Y50" s="702"/>
      <c r="Z50" s="702"/>
      <c r="AA50" s="702"/>
      <c r="AB50" s="702"/>
      <c r="AC50" s="702"/>
      <c r="AD50" s="702"/>
    </row>
    <row r="51" spans="2:30" ht="15.75">
      <c r="B51" s="705"/>
      <c r="C51" s="705"/>
      <c r="D51" s="705"/>
      <c r="E51" s="705"/>
      <c r="F51" s="705"/>
      <c r="G51" s="705"/>
      <c r="H51" s="705"/>
      <c r="I51" s="705"/>
      <c r="J51" s="705"/>
      <c r="K51" s="705"/>
      <c r="L51" s="702"/>
      <c r="M51" s="702"/>
      <c r="N51" s="702"/>
      <c r="O51" s="702"/>
      <c r="P51" s="702"/>
      <c r="Q51" s="702"/>
      <c r="R51" s="702"/>
      <c r="S51" s="702"/>
      <c r="T51" s="702"/>
      <c r="U51" s="702"/>
      <c r="V51" s="702"/>
      <c r="W51" s="702"/>
      <c r="X51" s="702"/>
      <c r="Y51" s="702"/>
      <c r="Z51" s="702"/>
      <c r="AA51" s="702"/>
      <c r="AB51" s="702"/>
      <c r="AC51" s="702"/>
      <c r="AD51" s="702"/>
    </row>
    <row r="52" spans="2:30" ht="15.75">
      <c r="B52" s="705"/>
      <c r="C52" s="705"/>
      <c r="D52" s="705"/>
      <c r="E52" s="705"/>
      <c r="F52" s="705"/>
      <c r="G52" s="705"/>
      <c r="H52" s="705"/>
      <c r="I52" s="705"/>
      <c r="J52" s="705"/>
      <c r="K52" s="705"/>
      <c r="L52" s="702"/>
      <c r="M52" s="702"/>
      <c r="N52" s="702"/>
      <c r="O52" s="702"/>
      <c r="P52" s="702"/>
      <c r="Q52" s="702"/>
      <c r="R52" s="702"/>
      <c r="S52" s="702"/>
      <c r="T52" s="702"/>
      <c r="U52" s="702"/>
      <c r="V52" s="702"/>
      <c r="W52" s="702"/>
      <c r="X52" s="702"/>
      <c r="Y52" s="702"/>
      <c r="Z52" s="702"/>
      <c r="AA52" s="702"/>
      <c r="AB52" s="702"/>
      <c r="AC52" s="702"/>
      <c r="AD52" s="702"/>
    </row>
    <row r="53" spans="2:30" ht="15.75">
      <c r="B53" s="705"/>
      <c r="C53" s="705"/>
      <c r="D53" s="705"/>
      <c r="E53" s="705"/>
      <c r="F53" s="705"/>
      <c r="G53" s="705"/>
      <c r="H53" s="705"/>
      <c r="I53" s="705"/>
      <c r="J53" s="705"/>
      <c r="K53" s="705"/>
      <c r="L53" s="702"/>
      <c r="M53" s="702"/>
      <c r="N53" s="702"/>
      <c r="O53" s="702"/>
      <c r="P53" s="702"/>
      <c r="Q53" s="702"/>
      <c r="R53" s="702"/>
      <c r="S53" s="702"/>
      <c r="T53" s="702"/>
      <c r="U53" s="702"/>
      <c r="V53" s="702"/>
      <c r="W53" s="702"/>
      <c r="X53" s="702"/>
      <c r="Y53" s="702"/>
      <c r="Z53" s="702"/>
      <c r="AA53" s="702"/>
      <c r="AB53" s="702"/>
      <c r="AC53" s="702"/>
      <c r="AD53" s="702"/>
    </row>
    <row r="54" spans="2:30" ht="15.75">
      <c r="B54" s="705"/>
      <c r="C54" s="705"/>
      <c r="D54" s="705"/>
      <c r="E54" s="705"/>
      <c r="F54" s="705"/>
      <c r="G54" s="705"/>
      <c r="H54" s="705"/>
      <c r="I54" s="705"/>
      <c r="J54" s="705"/>
      <c r="K54" s="705"/>
      <c r="L54" s="702"/>
      <c r="M54" s="702"/>
      <c r="N54" s="702"/>
      <c r="O54" s="702"/>
      <c r="P54" s="702"/>
      <c r="Q54" s="702"/>
      <c r="R54" s="702"/>
      <c r="S54" s="702"/>
      <c r="T54" s="702"/>
      <c r="U54" s="702"/>
      <c r="V54" s="702"/>
      <c r="W54" s="702"/>
      <c r="X54" s="702"/>
      <c r="Y54" s="702"/>
      <c r="Z54" s="702"/>
      <c r="AA54" s="702"/>
      <c r="AB54" s="702"/>
      <c r="AC54" s="702"/>
      <c r="AD54" s="702"/>
    </row>
    <row r="55" spans="2:30" ht="15.75">
      <c r="B55" s="705"/>
      <c r="C55" s="705"/>
      <c r="D55" s="705"/>
      <c r="E55" s="705"/>
      <c r="F55" s="705"/>
      <c r="G55" s="705"/>
      <c r="H55" s="705"/>
      <c r="I55" s="705"/>
      <c r="J55" s="705"/>
      <c r="K55" s="705"/>
      <c r="L55" s="702"/>
      <c r="M55" s="702"/>
      <c r="N55" s="702"/>
      <c r="O55" s="702"/>
      <c r="P55" s="702"/>
      <c r="Q55" s="702"/>
      <c r="R55" s="702"/>
      <c r="S55" s="702"/>
      <c r="T55" s="702"/>
      <c r="U55" s="702"/>
      <c r="V55" s="702"/>
      <c r="W55" s="702"/>
      <c r="X55" s="702"/>
      <c r="Y55" s="702"/>
      <c r="Z55" s="702"/>
      <c r="AA55" s="702"/>
      <c r="AB55" s="702"/>
      <c r="AC55" s="702"/>
      <c r="AD55" s="702"/>
    </row>
    <row r="56" spans="2:30" ht="15.75">
      <c r="B56" s="705"/>
      <c r="C56" s="705"/>
      <c r="D56" s="705"/>
      <c r="E56" s="705"/>
      <c r="F56" s="705"/>
      <c r="G56" s="705"/>
      <c r="H56" s="705"/>
      <c r="I56" s="705"/>
      <c r="J56" s="705"/>
      <c r="K56" s="705"/>
      <c r="L56" s="702"/>
      <c r="M56" s="702"/>
      <c r="N56" s="702"/>
      <c r="O56" s="702"/>
      <c r="P56" s="702"/>
      <c r="Q56" s="702"/>
      <c r="R56" s="702"/>
      <c r="S56" s="702"/>
      <c r="T56" s="702"/>
      <c r="U56" s="702"/>
      <c r="V56" s="702"/>
      <c r="W56" s="702"/>
      <c r="X56" s="702"/>
      <c r="Y56" s="702"/>
      <c r="Z56" s="702"/>
      <c r="AA56" s="702"/>
      <c r="AB56" s="702"/>
      <c r="AC56" s="702"/>
      <c r="AD56" s="702"/>
    </row>
    <row r="57" spans="2:30" ht="15.75">
      <c r="B57" s="705"/>
      <c r="C57" s="705"/>
      <c r="D57" s="705"/>
      <c r="E57" s="705"/>
      <c r="F57" s="705"/>
      <c r="G57" s="705"/>
      <c r="H57" s="705"/>
      <c r="I57" s="705"/>
      <c r="J57" s="705"/>
      <c r="K57" s="705"/>
      <c r="L57" s="702"/>
      <c r="M57" s="702"/>
      <c r="N57" s="702"/>
      <c r="O57" s="702"/>
      <c r="P57" s="702"/>
      <c r="Q57" s="702"/>
      <c r="R57" s="702"/>
      <c r="S57" s="702"/>
      <c r="T57" s="702"/>
      <c r="U57" s="702"/>
      <c r="V57" s="702"/>
      <c r="W57" s="702"/>
      <c r="X57" s="702"/>
      <c r="Y57" s="702"/>
      <c r="Z57" s="702"/>
      <c r="AA57" s="702"/>
      <c r="AB57" s="702"/>
      <c r="AC57" s="702"/>
      <c r="AD57" s="702"/>
    </row>
    <row r="58" spans="2:30" ht="15.75">
      <c r="B58" s="705"/>
      <c r="C58" s="705"/>
      <c r="D58" s="705"/>
      <c r="E58" s="705"/>
      <c r="F58" s="705"/>
      <c r="G58" s="705"/>
      <c r="H58" s="705"/>
      <c r="I58" s="705"/>
      <c r="J58" s="705"/>
      <c r="K58" s="705"/>
      <c r="L58" s="702"/>
      <c r="M58" s="702"/>
      <c r="N58" s="702"/>
      <c r="O58" s="702"/>
      <c r="P58" s="702"/>
      <c r="Q58" s="702"/>
      <c r="R58" s="702"/>
      <c r="S58" s="702"/>
      <c r="T58" s="702"/>
      <c r="U58" s="702"/>
      <c r="V58" s="702"/>
      <c r="W58" s="702"/>
      <c r="X58" s="702"/>
      <c r="Y58" s="702"/>
      <c r="Z58" s="702"/>
      <c r="AA58" s="702"/>
      <c r="AB58" s="702"/>
      <c r="AC58" s="702"/>
      <c r="AD58" s="702"/>
    </row>
    <row r="59" spans="2:30" ht="15.75">
      <c r="B59" s="705"/>
      <c r="C59" s="705"/>
      <c r="D59" s="705"/>
      <c r="E59" s="705"/>
      <c r="F59" s="705"/>
      <c r="G59" s="705"/>
      <c r="H59" s="705"/>
      <c r="I59" s="705"/>
      <c r="J59" s="705"/>
      <c r="K59" s="705"/>
      <c r="L59" s="702"/>
      <c r="M59" s="702"/>
      <c r="N59" s="702"/>
      <c r="O59" s="702"/>
      <c r="P59" s="702"/>
      <c r="Q59" s="702"/>
      <c r="R59" s="702"/>
      <c r="S59" s="702"/>
      <c r="T59" s="702"/>
      <c r="U59" s="702"/>
      <c r="V59" s="702"/>
      <c r="W59" s="702"/>
      <c r="X59" s="702"/>
      <c r="Y59" s="702"/>
      <c r="Z59" s="702"/>
      <c r="AA59" s="702"/>
      <c r="AB59" s="702"/>
      <c r="AC59" s="702"/>
      <c r="AD59" s="702"/>
    </row>
    <row r="60" spans="2:30" ht="15.75">
      <c r="B60" s="705"/>
      <c r="C60" s="705"/>
      <c r="D60" s="705"/>
      <c r="E60" s="705"/>
      <c r="F60" s="705"/>
      <c r="G60" s="705"/>
      <c r="H60" s="705"/>
      <c r="I60" s="705"/>
      <c r="J60" s="705"/>
      <c r="K60" s="705"/>
      <c r="L60" s="702"/>
      <c r="M60" s="702"/>
      <c r="N60" s="702"/>
      <c r="O60" s="702"/>
      <c r="P60" s="702"/>
      <c r="Q60" s="702"/>
      <c r="R60" s="702"/>
      <c r="S60" s="702"/>
      <c r="T60" s="702"/>
      <c r="U60" s="702"/>
      <c r="V60" s="702"/>
      <c r="W60" s="702"/>
      <c r="X60" s="702"/>
      <c r="Y60" s="702"/>
      <c r="Z60" s="702"/>
      <c r="AA60" s="702"/>
      <c r="AB60" s="702"/>
      <c r="AC60" s="702"/>
      <c r="AD60" s="702"/>
    </row>
    <row r="61" spans="2:30" ht="15.75">
      <c r="B61" s="705"/>
      <c r="C61" s="705"/>
      <c r="D61" s="705"/>
      <c r="E61" s="705"/>
      <c r="F61" s="705"/>
      <c r="G61" s="705"/>
      <c r="H61" s="705"/>
      <c r="I61" s="705"/>
      <c r="J61" s="705"/>
      <c r="K61" s="705"/>
      <c r="L61" s="702"/>
      <c r="M61" s="702"/>
      <c r="N61" s="702"/>
      <c r="O61" s="702"/>
      <c r="P61" s="702"/>
      <c r="Q61" s="702"/>
      <c r="R61" s="702"/>
      <c r="S61" s="702"/>
      <c r="T61" s="702"/>
      <c r="U61" s="702"/>
      <c r="V61" s="702"/>
      <c r="W61" s="702"/>
      <c r="X61" s="702"/>
      <c r="Y61" s="702"/>
      <c r="Z61" s="702"/>
      <c r="AA61" s="702"/>
      <c r="AB61" s="702"/>
      <c r="AC61" s="702"/>
      <c r="AD61" s="702"/>
    </row>
    <row r="62" spans="2:30" ht="15.75">
      <c r="B62" s="705"/>
      <c r="C62" s="705"/>
      <c r="D62" s="705"/>
      <c r="E62" s="705"/>
      <c r="F62" s="705"/>
      <c r="G62" s="705"/>
      <c r="H62" s="705"/>
      <c r="I62" s="705"/>
      <c r="J62" s="705"/>
      <c r="K62" s="705"/>
      <c r="L62" s="702"/>
      <c r="M62" s="702"/>
      <c r="N62" s="702"/>
      <c r="O62" s="702"/>
      <c r="P62" s="702"/>
      <c r="Q62" s="702"/>
      <c r="R62" s="702"/>
      <c r="S62" s="702"/>
      <c r="T62" s="702"/>
      <c r="U62" s="702"/>
      <c r="V62" s="702"/>
      <c r="W62" s="702"/>
      <c r="X62" s="702"/>
      <c r="Y62" s="702"/>
      <c r="Z62" s="702"/>
      <c r="AA62" s="702"/>
      <c r="AB62" s="702"/>
      <c r="AC62" s="702"/>
      <c r="AD62" s="702"/>
    </row>
    <row r="63" spans="2:30" ht="15.75">
      <c r="B63" s="705"/>
      <c r="C63" s="705"/>
      <c r="D63" s="705"/>
      <c r="E63" s="705"/>
      <c r="F63" s="705"/>
      <c r="G63" s="705"/>
      <c r="H63" s="705"/>
      <c r="I63" s="705"/>
      <c r="J63" s="705"/>
      <c r="K63" s="705"/>
      <c r="L63" s="702"/>
      <c r="M63" s="702"/>
      <c r="N63" s="702"/>
      <c r="O63" s="702"/>
      <c r="P63" s="702"/>
      <c r="Q63" s="702"/>
      <c r="R63" s="702"/>
      <c r="S63" s="702"/>
      <c r="T63" s="702"/>
      <c r="U63" s="702"/>
      <c r="V63" s="702"/>
      <c r="W63" s="702"/>
      <c r="X63" s="702"/>
      <c r="Y63" s="702"/>
      <c r="Z63" s="702"/>
      <c r="AA63" s="702"/>
      <c r="AB63" s="702"/>
      <c r="AC63" s="702"/>
      <c r="AD63" s="702"/>
    </row>
    <row r="64" spans="2:30" ht="15.75">
      <c r="B64" s="705"/>
      <c r="C64" s="705"/>
      <c r="D64" s="705"/>
      <c r="E64" s="705"/>
      <c r="F64" s="705"/>
      <c r="G64" s="705"/>
      <c r="H64" s="705"/>
      <c r="I64" s="705"/>
      <c r="J64" s="705"/>
      <c r="K64" s="705"/>
      <c r="L64" s="702"/>
      <c r="M64" s="702"/>
      <c r="N64" s="702"/>
      <c r="O64" s="702"/>
      <c r="P64" s="702"/>
      <c r="Q64" s="702"/>
      <c r="R64" s="702"/>
      <c r="S64" s="702"/>
      <c r="T64" s="702"/>
      <c r="U64" s="702"/>
      <c r="V64" s="702"/>
      <c r="W64" s="702"/>
      <c r="X64" s="702"/>
      <c r="Y64" s="702"/>
      <c r="Z64" s="702"/>
      <c r="AA64" s="702"/>
      <c r="AB64" s="702"/>
      <c r="AC64" s="702"/>
      <c r="AD64" s="702"/>
    </row>
    <row r="65" spans="2:30" ht="15.75">
      <c r="B65" s="705"/>
      <c r="C65" s="705"/>
      <c r="D65" s="705"/>
      <c r="E65" s="705"/>
      <c r="F65" s="705"/>
      <c r="G65" s="705"/>
      <c r="H65" s="705"/>
      <c r="I65" s="705"/>
      <c r="J65" s="705"/>
      <c r="K65" s="705"/>
      <c r="L65" s="702"/>
      <c r="M65" s="702"/>
      <c r="N65" s="702"/>
      <c r="O65" s="702"/>
      <c r="P65" s="702"/>
      <c r="Q65" s="702"/>
      <c r="R65" s="702"/>
      <c r="S65" s="702"/>
      <c r="T65" s="702"/>
      <c r="U65" s="702"/>
      <c r="V65" s="702"/>
      <c r="W65" s="702"/>
      <c r="X65" s="702"/>
      <c r="Y65" s="702"/>
      <c r="Z65" s="702"/>
      <c r="AA65" s="702"/>
      <c r="AB65" s="702"/>
      <c r="AC65" s="702"/>
      <c r="AD65" s="702"/>
    </row>
    <row r="66" spans="2:30" ht="15.75">
      <c r="B66" s="705"/>
      <c r="C66" s="705"/>
      <c r="D66" s="705"/>
      <c r="E66" s="705"/>
      <c r="F66" s="705"/>
      <c r="G66" s="705"/>
      <c r="H66" s="705"/>
      <c r="I66" s="705"/>
      <c r="J66" s="705"/>
      <c r="K66" s="705"/>
      <c r="L66" s="702"/>
      <c r="M66" s="702"/>
      <c r="N66" s="702"/>
      <c r="O66" s="702"/>
      <c r="P66" s="702"/>
      <c r="Q66" s="702"/>
      <c r="R66" s="702"/>
      <c r="S66" s="702"/>
      <c r="T66" s="702"/>
      <c r="U66" s="702"/>
      <c r="V66" s="702"/>
      <c r="W66" s="702"/>
      <c r="X66" s="702"/>
      <c r="Y66" s="702"/>
      <c r="Z66" s="702"/>
      <c r="AA66" s="702"/>
      <c r="AB66" s="702"/>
      <c r="AC66" s="702"/>
      <c r="AD66" s="702"/>
    </row>
    <row r="67" spans="2:30" ht="15.75">
      <c r="B67" s="705"/>
      <c r="C67" s="705"/>
      <c r="D67" s="705"/>
      <c r="E67" s="705"/>
      <c r="F67" s="705"/>
      <c r="G67" s="705"/>
      <c r="H67" s="705"/>
      <c r="I67" s="705"/>
      <c r="J67" s="705"/>
      <c r="K67" s="705"/>
      <c r="L67" s="702"/>
      <c r="M67" s="702"/>
      <c r="N67" s="702"/>
      <c r="O67" s="702"/>
      <c r="P67" s="702"/>
      <c r="Q67" s="702"/>
      <c r="R67" s="702"/>
      <c r="S67" s="702"/>
      <c r="T67" s="702"/>
      <c r="U67" s="702"/>
      <c r="V67" s="702"/>
      <c r="W67" s="702"/>
      <c r="X67" s="702"/>
      <c r="Y67" s="702"/>
      <c r="Z67" s="702"/>
      <c r="AA67" s="702"/>
      <c r="AB67" s="702"/>
      <c r="AC67" s="702"/>
      <c r="AD67" s="702"/>
    </row>
    <row r="68" spans="2:30" ht="15.75">
      <c r="B68" s="705"/>
      <c r="C68" s="705"/>
      <c r="D68" s="705"/>
      <c r="E68" s="705"/>
      <c r="F68" s="705"/>
      <c r="G68" s="705"/>
      <c r="H68" s="705"/>
      <c r="I68" s="705"/>
      <c r="J68" s="705"/>
      <c r="K68" s="705"/>
      <c r="L68" s="702"/>
      <c r="M68" s="702"/>
      <c r="N68" s="702"/>
      <c r="O68" s="702"/>
      <c r="P68" s="702"/>
      <c r="Q68" s="702"/>
      <c r="R68" s="702"/>
      <c r="S68" s="702"/>
      <c r="T68" s="702"/>
      <c r="U68" s="702"/>
      <c r="V68" s="702"/>
      <c r="W68" s="702"/>
      <c r="X68" s="702"/>
      <c r="Y68" s="702"/>
      <c r="Z68" s="702"/>
      <c r="AA68" s="702"/>
      <c r="AB68" s="702"/>
      <c r="AC68" s="702"/>
      <c r="AD68" s="702"/>
    </row>
    <row r="69" spans="2:30" ht="15.75">
      <c r="B69" s="705"/>
      <c r="C69" s="705"/>
      <c r="D69" s="705"/>
      <c r="E69" s="705"/>
      <c r="F69" s="705"/>
      <c r="G69" s="705"/>
      <c r="H69" s="705"/>
      <c r="I69" s="705"/>
      <c r="J69" s="705"/>
      <c r="K69" s="705"/>
      <c r="L69" s="702"/>
      <c r="M69" s="702"/>
      <c r="N69" s="702"/>
      <c r="O69" s="702"/>
      <c r="P69" s="702"/>
      <c r="Q69" s="702"/>
      <c r="R69" s="702"/>
      <c r="S69" s="702"/>
      <c r="T69" s="702"/>
      <c r="U69" s="702"/>
      <c r="V69" s="702"/>
      <c r="W69" s="702"/>
      <c r="X69" s="702"/>
      <c r="Y69" s="702"/>
      <c r="Z69" s="702"/>
      <c r="AA69" s="702"/>
      <c r="AB69" s="702"/>
      <c r="AC69" s="702"/>
      <c r="AD69" s="702"/>
    </row>
    <row r="70" spans="2:30" ht="15.75">
      <c r="B70" s="705"/>
      <c r="C70" s="705"/>
      <c r="D70" s="705"/>
      <c r="E70" s="705"/>
      <c r="F70" s="705"/>
      <c r="G70" s="705"/>
      <c r="H70" s="705"/>
      <c r="I70" s="705"/>
      <c r="J70" s="705"/>
      <c r="K70" s="705"/>
      <c r="L70" s="702"/>
      <c r="M70" s="702"/>
      <c r="N70" s="702"/>
      <c r="O70" s="702"/>
      <c r="P70" s="702"/>
      <c r="Q70" s="702"/>
      <c r="R70" s="702"/>
      <c r="S70" s="702"/>
      <c r="T70" s="702"/>
      <c r="U70" s="702"/>
      <c r="V70" s="702"/>
      <c r="W70" s="702"/>
      <c r="X70" s="702"/>
      <c r="Y70" s="702"/>
      <c r="Z70" s="702"/>
      <c r="AA70" s="702"/>
      <c r="AB70" s="702"/>
      <c r="AC70" s="702"/>
      <c r="AD70" s="702"/>
    </row>
    <row r="71" spans="2:30" ht="15.75">
      <c r="B71" s="705"/>
      <c r="C71" s="705"/>
      <c r="D71" s="705"/>
      <c r="E71" s="705"/>
      <c r="F71" s="705"/>
      <c r="G71" s="705"/>
      <c r="H71" s="705"/>
      <c r="I71" s="705"/>
      <c r="J71" s="705"/>
      <c r="K71" s="705"/>
      <c r="L71" s="702"/>
      <c r="M71" s="702"/>
      <c r="N71" s="702"/>
      <c r="O71" s="702"/>
      <c r="P71" s="702"/>
      <c r="Q71" s="702"/>
      <c r="R71" s="702"/>
      <c r="S71" s="702"/>
      <c r="T71" s="702"/>
      <c r="U71" s="702"/>
      <c r="V71" s="702"/>
      <c r="W71" s="702"/>
      <c r="X71" s="702"/>
      <c r="Y71" s="702"/>
      <c r="Z71" s="702"/>
      <c r="AA71" s="702"/>
      <c r="AB71" s="702"/>
      <c r="AC71" s="702"/>
      <c r="AD71" s="702"/>
    </row>
    <row r="72" spans="2:30" ht="15.75">
      <c r="B72" s="705"/>
      <c r="C72" s="705"/>
      <c r="D72" s="705"/>
      <c r="E72" s="705"/>
      <c r="F72" s="705"/>
      <c r="G72" s="705"/>
      <c r="H72" s="705"/>
      <c r="I72" s="705"/>
      <c r="J72" s="705"/>
      <c r="K72" s="705"/>
      <c r="L72" s="702"/>
      <c r="M72" s="702"/>
      <c r="N72" s="702"/>
      <c r="O72" s="702"/>
      <c r="P72" s="702"/>
      <c r="Q72" s="702"/>
      <c r="R72" s="702"/>
      <c r="S72" s="702"/>
      <c r="T72" s="702"/>
      <c r="U72" s="702"/>
      <c r="V72" s="702"/>
      <c r="W72" s="702"/>
      <c r="X72" s="702"/>
      <c r="Y72" s="702"/>
      <c r="Z72" s="702"/>
      <c r="AA72" s="702"/>
      <c r="AB72" s="702"/>
      <c r="AC72" s="702"/>
      <c r="AD72" s="702"/>
    </row>
    <row r="73" spans="2:30" ht="15.75">
      <c r="B73" s="705"/>
      <c r="C73" s="705"/>
      <c r="D73" s="705"/>
      <c r="E73" s="705"/>
      <c r="F73" s="705"/>
      <c r="G73" s="705"/>
      <c r="H73" s="705"/>
      <c r="I73" s="705"/>
      <c r="J73" s="705"/>
      <c r="K73" s="705"/>
      <c r="L73" s="702"/>
      <c r="M73" s="702"/>
      <c r="N73" s="702"/>
      <c r="O73" s="702"/>
      <c r="P73" s="702"/>
      <c r="Q73" s="702"/>
      <c r="R73" s="702"/>
      <c r="S73" s="702"/>
      <c r="T73" s="702"/>
      <c r="U73" s="702"/>
      <c r="V73" s="702"/>
      <c r="W73" s="702"/>
      <c r="X73" s="702"/>
      <c r="Y73" s="702"/>
      <c r="Z73" s="702"/>
      <c r="AA73" s="702"/>
      <c r="AB73" s="702"/>
      <c r="AC73" s="702"/>
      <c r="AD73" s="702"/>
    </row>
    <row r="74" spans="2:30" ht="15.75">
      <c r="B74" s="705"/>
      <c r="C74" s="705"/>
      <c r="D74" s="705"/>
      <c r="E74" s="705"/>
      <c r="F74" s="705"/>
      <c r="G74" s="705"/>
      <c r="H74" s="705"/>
      <c r="I74" s="705"/>
      <c r="J74" s="705"/>
      <c r="K74" s="705"/>
      <c r="L74" s="702"/>
      <c r="M74" s="702"/>
      <c r="N74" s="702"/>
      <c r="O74" s="702"/>
      <c r="P74" s="702"/>
      <c r="Q74" s="702"/>
      <c r="R74" s="702"/>
      <c r="S74" s="702"/>
      <c r="T74" s="702"/>
      <c r="U74" s="702"/>
      <c r="V74" s="702"/>
      <c r="W74" s="702"/>
      <c r="X74" s="702"/>
      <c r="Y74" s="702"/>
      <c r="Z74" s="702"/>
      <c r="AA74" s="702"/>
      <c r="AB74" s="702"/>
      <c r="AC74" s="702"/>
      <c r="AD74" s="702"/>
    </row>
    <row r="75" spans="2:30" ht="15.75">
      <c r="B75" s="705"/>
      <c r="C75" s="705"/>
      <c r="D75" s="705"/>
      <c r="E75" s="705"/>
      <c r="F75" s="705"/>
      <c r="G75" s="705"/>
      <c r="H75" s="705"/>
      <c r="I75" s="705"/>
      <c r="J75" s="705"/>
      <c r="K75" s="705"/>
      <c r="L75" s="702"/>
      <c r="M75" s="702"/>
      <c r="N75" s="702"/>
      <c r="O75" s="702"/>
      <c r="P75" s="702"/>
      <c r="Q75" s="702"/>
      <c r="R75" s="702"/>
      <c r="S75" s="702"/>
      <c r="T75" s="702"/>
      <c r="U75" s="702"/>
      <c r="V75" s="702"/>
      <c r="W75" s="702"/>
      <c r="X75" s="702"/>
      <c r="Y75" s="702"/>
      <c r="Z75" s="702"/>
      <c r="AA75" s="702"/>
      <c r="AB75" s="702"/>
      <c r="AC75" s="702"/>
      <c r="AD75" s="702"/>
    </row>
    <row r="76" spans="2:30" ht="15.75">
      <c r="B76" s="705"/>
      <c r="C76" s="705"/>
      <c r="D76" s="705"/>
      <c r="E76" s="705"/>
      <c r="F76" s="705"/>
      <c r="G76" s="705"/>
      <c r="H76" s="705"/>
      <c r="I76" s="705"/>
      <c r="J76" s="705"/>
      <c r="K76" s="705"/>
      <c r="L76" s="702"/>
      <c r="M76" s="702"/>
      <c r="N76" s="702"/>
      <c r="O76" s="702"/>
      <c r="P76" s="702"/>
      <c r="Q76" s="702"/>
      <c r="R76" s="702"/>
      <c r="S76" s="702"/>
      <c r="T76" s="702"/>
      <c r="U76" s="702"/>
      <c r="V76" s="702"/>
      <c r="W76" s="702"/>
      <c r="X76" s="702"/>
      <c r="Y76" s="702"/>
      <c r="Z76" s="702"/>
      <c r="AA76" s="702"/>
      <c r="AB76" s="702"/>
      <c r="AC76" s="702"/>
      <c r="AD76" s="702"/>
    </row>
    <row r="77" spans="2:30" ht="15.75">
      <c r="B77" s="705"/>
      <c r="C77" s="705"/>
      <c r="D77" s="705"/>
      <c r="E77" s="705"/>
      <c r="F77" s="705"/>
      <c r="G77" s="705"/>
      <c r="H77" s="705"/>
      <c r="I77" s="705"/>
      <c r="J77" s="705"/>
      <c r="K77" s="705"/>
      <c r="L77" s="702"/>
      <c r="M77" s="702"/>
      <c r="N77" s="702"/>
      <c r="O77" s="702"/>
      <c r="P77" s="702"/>
      <c r="Q77" s="702"/>
      <c r="R77" s="702"/>
      <c r="S77" s="702"/>
      <c r="T77" s="702"/>
      <c r="U77" s="702"/>
      <c r="V77" s="702"/>
      <c r="W77" s="702"/>
      <c r="X77" s="702"/>
      <c r="Y77" s="702"/>
      <c r="Z77" s="702"/>
      <c r="AA77" s="702"/>
      <c r="AB77" s="702"/>
      <c r="AC77" s="702"/>
      <c r="AD77" s="702"/>
    </row>
    <row r="78" spans="2:30" ht="15.75">
      <c r="B78" s="705"/>
      <c r="C78" s="705"/>
      <c r="D78" s="705"/>
      <c r="E78" s="705"/>
      <c r="F78" s="705"/>
      <c r="G78" s="705"/>
      <c r="H78" s="705"/>
      <c r="I78" s="705"/>
      <c r="J78" s="705"/>
      <c r="K78" s="705"/>
      <c r="L78" s="702"/>
      <c r="M78" s="702"/>
      <c r="N78" s="702"/>
      <c r="O78" s="702"/>
      <c r="P78" s="702"/>
      <c r="Q78" s="702"/>
      <c r="R78" s="702"/>
      <c r="S78" s="702"/>
      <c r="T78" s="702"/>
      <c r="U78" s="702"/>
      <c r="V78" s="702"/>
      <c r="W78" s="702"/>
      <c r="X78" s="702"/>
      <c r="Y78" s="702"/>
      <c r="Z78" s="702"/>
      <c r="AA78" s="702"/>
      <c r="AB78" s="702"/>
      <c r="AC78" s="702"/>
      <c r="AD78" s="702"/>
    </row>
    <row r="79" spans="2:30" ht="15.75">
      <c r="B79" s="705"/>
      <c r="C79" s="705"/>
      <c r="D79" s="705"/>
      <c r="E79" s="705"/>
      <c r="F79" s="705"/>
      <c r="G79" s="705"/>
      <c r="H79" s="705"/>
      <c r="I79" s="705"/>
      <c r="J79" s="705"/>
      <c r="K79" s="705"/>
      <c r="L79" s="702"/>
      <c r="M79" s="702"/>
      <c r="N79" s="702"/>
      <c r="O79" s="702"/>
      <c r="P79" s="702"/>
      <c r="Q79" s="702"/>
      <c r="R79" s="702"/>
      <c r="S79" s="702"/>
      <c r="T79" s="702"/>
      <c r="U79" s="702"/>
      <c r="V79" s="702"/>
      <c r="W79" s="702"/>
      <c r="X79" s="702"/>
      <c r="Y79" s="702"/>
      <c r="Z79" s="702"/>
      <c r="AA79" s="702"/>
      <c r="AB79" s="702"/>
      <c r="AC79" s="702"/>
      <c r="AD79" s="702"/>
    </row>
    <row r="80" spans="2:30" ht="15.75">
      <c r="B80" s="705"/>
      <c r="C80" s="705"/>
      <c r="D80" s="705"/>
      <c r="E80" s="705"/>
      <c r="F80" s="705"/>
      <c r="G80" s="705"/>
      <c r="H80" s="705"/>
      <c r="I80" s="705"/>
      <c r="J80" s="705"/>
      <c r="K80" s="705"/>
      <c r="L80" s="702"/>
      <c r="M80" s="702"/>
      <c r="N80" s="702"/>
      <c r="O80" s="702"/>
      <c r="P80" s="702"/>
      <c r="Q80" s="702"/>
      <c r="R80" s="702"/>
      <c r="S80" s="702"/>
      <c r="T80" s="702"/>
      <c r="U80" s="702"/>
      <c r="V80" s="702"/>
      <c r="W80" s="702"/>
      <c r="X80" s="702"/>
      <c r="Y80" s="702"/>
      <c r="Z80" s="702"/>
      <c r="AA80" s="702"/>
      <c r="AB80" s="702"/>
      <c r="AC80" s="702"/>
      <c r="AD80" s="702"/>
    </row>
    <row r="81" spans="2:30" ht="15.75">
      <c r="B81" s="705"/>
      <c r="C81" s="705"/>
      <c r="D81" s="705"/>
      <c r="E81" s="705"/>
      <c r="F81" s="705"/>
      <c r="G81" s="705"/>
      <c r="H81" s="705"/>
      <c r="I81" s="705"/>
      <c r="J81" s="705"/>
      <c r="K81" s="705"/>
      <c r="L81" s="702"/>
      <c r="M81" s="702"/>
      <c r="N81" s="702"/>
      <c r="O81" s="702"/>
      <c r="P81" s="702"/>
      <c r="Q81" s="702"/>
      <c r="R81" s="702"/>
      <c r="S81" s="702"/>
      <c r="T81" s="702"/>
      <c r="U81" s="702"/>
      <c r="V81" s="702"/>
      <c r="W81" s="702"/>
      <c r="X81" s="702"/>
      <c r="Y81" s="702"/>
      <c r="Z81" s="702"/>
      <c r="AA81" s="702"/>
      <c r="AB81" s="702"/>
      <c r="AC81" s="702"/>
      <c r="AD81" s="702"/>
    </row>
    <row r="82" spans="2:30" ht="15.75">
      <c r="B82" s="705"/>
      <c r="C82" s="705"/>
      <c r="D82" s="705"/>
      <c r="E82" s="705"/>
      <c r="F82" s="705"/>
      <c r="G82" s="705"/>
      <c r="H82" s="705"/>
      <c r="I82" s="705"/>
      <c r="J82" s="705"/>
      <c r="K82" s="705"/>
      <c r="L82" s="702"/>
      <c r="M82" s="702"/>
      <c r="N82" s="702"/>
      <c r="O82" s="702"/>
      <c r="P82" s="702"/>
      <c r="Q82" s="702"/>
      <c r="R82" s="702"/>
      <c r="S82" s="702"/>
      <c r="T82" s="702"/>
      <c r="U82" s="702"/>
      <c r="V82" s="702"/>
      <c r="W82" s="702"/>
      <c r="X82" s="702"/>
      <c r="Y82" s="702"/>
      <c r="Z82" s="702"/>
      <c r="AA82" s="702"/>
      <c r="AB82" s="702"/>
      <c r="AC82" s="702"/>
      <c r="AD82" s="702"/>
    </row>
    <row r="83" spans="2:30" ht="15.75">
      <c r="B83" s="705"/>
      <c r="C83" s="705"/>
      <c r="D83" s="705"/>
      <c r="E83" s="705"/>
      <c r="F83" s="705"/>
      <c r="G83" s="705"/>
      <c r="H83" s="705"/>
      <c r="I83" s="705"/>
      <c r="J83" s="705"/>
      <c r="K83" s="705"/>
      <c r="L83" s="702"/>
      <c r="M83" s="702"/>
      <c r="N83" s="702"/>
      <c r="O83" s="702"/>
      <c r="P83" s="702"/>
      <c r="Q83" s="702"/>
      <c r="R83" s="702"/>
      <c r="S83" s="702"/>
      <c r="T83" s="702"/>
      <c r="U83" s="702"/>
      <c r="V83" s="702"/>
      <c r="W83" s="702"/>
      <c r="X83" s="702"/>
      <c r="Y83" s="702"/>
      <c r="Z83" s="702"/>
      <c r="AA83" s="702"/>
      <c r="AB83" s="702"/>
      <c r="AC83" s="702"/>
      <c r="AD83" s="702"/>
    </row>
    <row r="84" spans="2:30" ht="15.75">
      <c r="B84" s="705"/>
      <c r="C84" s="705"/>
      <c r="D84" s="705"/>
      <c r="E84" s="705"/>
      <c r="F84" s="705"/>
      <c r="G84" s="705"/>
      <c r="H84" s="705"/>
      <c r="I84" s="705"/>
      <c r="J84" s="705"/>
      <c r="K84" s="705"/>
      <c r="L84" s="702"/>
      <c r="M84" s="702"/>
      <c r="N84" s="702"/>
      <c r="O84" s="702"/>
      <c r="P84" s="702"/>
      <c r="Q84" s="702"/>
      <c r="R84" s="702"/>
      <c r="S84" s="702"/>
      <c r="T84" s="702"/>
      <c r="U84" s="702"/>
      <c r="V84" s="702"/>
      <c r="W84" s="702"/>
      <c r="X84" s="702"/>
      <c r="Y84" s="702"/>
      <c r="Z84" s="702"/>
      <c r="AA84" s="702"/>
      <c r="AB84" s="702"/>
      <c r="AC84" s="702"/>
      <c r="AD84" s="702"/>
    </row>
    <row r="85" spans="2:30" ht="15.75">
      <c r="B85" s="705"/>
      <c r="C85" s="705"/>
      <c r="D85" s="705"/>
      <c r="E85" s="705"/>
      <c r="F85" s="705"/>
      <c r="G85" s="705"/>
      <c r="H85" s="705"/>
      <c r="I85" s="705"/>
      <c r="J85" s="705"/>
      <c r="K85" s="705"/>
      <c r="L85" s="702"/>
      <c r="M85" s="702"/>
      <c r="N85" s="702"/>
      <c r="O85" s="702"/>
      <c r="P85" s="702"/>
      <c r="Q85" s="702"/>
      <c r="R85" s="702"/>
      <c r="S85" s="702"/>
      <c r="T85" s="702"/>
      <c r="U85" s="702"/>
      <c r="V85" s="702"/>
      <c r="W85" s="702"/>
      <c r="X85" s="702"/>
      <c r="Y85" s="702"/>
      <c r="Z85" s="702"/>
      <c r="AA85" s="702"/>
      <c r="AB85" s="702"/>
      <c r="AC85" s="702"/>
      <c r="AD85" s="702"/>
    </row>
    <row r="86" spans="2:30" ht="15.75">
      <c r="B86" s="705"/>
      <c r="C86" s="705"/>
      <c r="D86" s="705"/>
      <c r="E86" s="705"/>
      <c r="F86" s="705"/>
      <c r="G86" s="705"/>
      <c r="H86" s="705"/>
      <c r="I86" s="705"/>
      <c r="J86" s="705"/>
      <c r="K86" s="705"/>
      <c r="L86" s="702"/>
      <c r="M86" s="702"/>
      <c r="N86" s="702"/>
      <c r="O86" s="702"/>
      <c r="P86" s="702"/>
      <c r="Q86" s="702"/>
      <c r="R86" s="702"/>
      <c r="S86" s="702"/>
      <c r="T86" s="702"/>
      <c r="U86" s="702"/>
      <c r="V86" s="702"/>
      <c r="W86" s="702"/>
      <c r="X86" s="702"/>
      <c r="Y86" s="702"/>
      <c r="Z86" s="702"/>
      <c r="AA86" s="702"/>
      <c r="AB86" s="702"/>
      <c r="AC86" s="702"/>
      <c r="AD86" s="702"/>
    </row>
    <row r="87" spans="2:30" ht="15.75">
      <c r="B87" s="705"/>
      <c r="C87" s="705"/>
      <c r="D87" s="705"/>
      <c r="E87" s="705"/>
      <c r="F87" s="705"/>
      <c r="G87" s="705"/>
      <c r="H87" s="705"/>
      <c r="I87" s="705"/>
      <c r="J87" s="705"/>
      <c r="K87" s="705"/>
      <c r="L87" s="702"/>
      <c r="M87" s="702"/>
      <c r="N87" s="702"/>
      <c r="O87" s="702"/>
      <c r="P87" s="702"/>
      <c r="Q87" s="702"/>
      <c r="R87" s="702"/>
      <c r="S87" s="702"/>
      <c r="T87" s="702"/>
      <c r="U87" s="702"/>
      <c r="V87" s="702"/>
      <c r="W87" s="702"/>
      <c r="X87" s="702"/>
      <c r="Y87" s="702"/>
      <c r="Z87" s="702"/>
      <c r="AA87" s="702"/>
      <c r="AB87" s="702"/>
      <c r="AC87" s="702"/>
      <c r="AD87" s="702"/>
    </row>
    <row r="88" spans="2:30" ht="15.75">
      <c r="B88" s="705"/>
      <c r="C88" s="705"/>
      <c r="D88" s="705"/>
      <c r="E88" s="705"/>
      <c r="F88" s="705"/>
      <c r="G88" s="705"/>
      <c r="H88" s="705"/>
      <c r="I88" s="705"/>
      <c r="J88" s="705"/>
      <c r="K88" s="705"/>
      <c r="L88" s="702"/>
      <c r="M88" s="702"/>
      <c r="N88" s="702"/>
      <c r="O88" s="702"/>
      <c r="P88" s="702"/>
      <c r="Q88" s="702"/>
      <c r="R88" s="702"/>
      <c r="S88" s="702"/>
      <c r="T88" s="702"/>
      <c r="U88" s="702"/>
      <c r="V88" s="702"/>
      <c r="W88" s="702"/>
      <c r="X88" s="702"/>
      <c r="Y88" s="702"/>
      <c r="Z88" s="702"/>
      <c r="AA88" s="702"/>
      <c r="AB88" s="702"/>
      <c r="AC88" s="702"/>
      <c r="AD88" s="702"/>
    </row>
    <row r="89" spans="2:30" ht="15.75">
      <c r="B89" s="705"/>
      <c r="C89" s="705"/>
      <c r="D89" s="705"/>
      <c r="E89" s="705"/>
      <c r="F89" s="705"/>
      <c r="G89" s="705"/>
      <c r="H89" s="705"/>
      <c r="I89" s="705"/>
      <c r="J89" s="705"/>
      <c r="K89" s="705"/>
      <c r="L89" s="702"/>
      <c r="M89" s="702"/>
      <c r="N89" s="702"/>
      <c r="O89" s="702"/>
      <c r="P89" s="702"/>
      <c r="Q89" s="702"/>
      <c r="R89" s="702"/>
      <c r="S89" s="702"/>
      <c r="T89" s="702"/>
      <c r="U89" s="702"/>
      <c r="V89" s="702"/>
      <c r="W89" s="702"/>
      <c r="X89" s="702"/>
      <c r="Y89" s="702"/>
      <c r="Z89" s="702"/>
      <c r="AA89" s="702"/>
      <c r="AB89" s="702"/>
      <c r="AC89" s="702"/>
      <c r="AD89" s="702"/>
    </row>
    <row r="90" spans="2:30" ht="15.75">
      <c r="B90" s="705"/>
      <c r="C90" s="705"/>
      <c r="D90" s="705"/>
      <c r="E90" s="705"/>
      <c r="F90" s="705"/>
      <c r="G90" s="705"/>
      <c r="H90" s="705"/>
      <c r="I90" s="705"/>
      <c r="J90" s="705"/>
      <c r="K90" s="705"/>
      <c r="L90" s="702"/>
      <c r="M90" s="702"/>
      <c r="N90" s="702"/>
      <c r="O90" s="702"/>
      <c r="P90" s="702"/>
      <c r="Q90" s="702"/>
      <c r="R90" s="702"/>
      <c r="S90" s="702"/>
      <c r="T90" s="702"/>
      <c r="U90" s="702"/>
      <c r="V90" s="702"/>
      <c r="W90" s="702"/>
      <c r="X90" s="702"/>
      <c r="Y90" s="702"/>
      <c r="Z90" s="702"/>
      <c r="AA90" s="702"/>
      <c r="AB90" s="702"/>
      <c r="AC90" s="702"/>
      <c r="AD90" s="702"/>
    </row>
    <row r="91" spans="2:30" ht="15.75">
      <c r="B91" s="705"/>
      <c r="C91" s="705"/>
      <c r="D91" s="705"/>
      <c r="E91" s="705"/>
      <c r="F91" s="705"/>
      <c r="G91" s="705"/>
      <c r="H91" s="705"/>
      <c r="I91" s="705"/>
      <c r="J91" s="705"/>
      <c r="K91" s="705"/>
      <c r="L91" s="702"/>
      <c r="M91" s="702"/>
      <c r="N91" s="702"/>
      <c r="O91" s="702"/>
      <c r="P91" s="702"/>
      <c r="Q91" s="702"/>
      <c r="R91" s="702"/>
      <c r="S91" s="702"/>
      <c r="T91" s="702"/>
      <c r="U91" s="702"/>
      <c r="V91" s="702"/>
      <c r="W91" s="702"/>
      <c r="X91" s="702"/>
      <c r="Y91" s="702"/>
      <c r="Z91" s="702"/>
      <c r="AA91" s="702"/>
      <c r="AB91" s="702"/>
      <c r="AC91" s="702"/>
      <c r="AD91" s="702"/>
    </row>
    <row r="92" spans="2:30" ht="15.75">
      <c r="B92" s="705"/>
      <c r="C92" s="705"/>
      <c r="D92" s="705"/>
      <c r="E92" s="705"/>
      <c r="F92" s="705"/>
      <c r="G92" s="705"/>
      <c r="H92" s="705"/>
      <c r="I92" s="705"/>
      <c r="J92" s="705"/>
      <c r="K92" s="705"/>
      <c r="L92" s="702"/>
      <c r="M92" s="702"/>
      <c r="N92" s="702"/>
      <c r="O92" s="702"/>
      <c r="P92" s="702"/>
      <c r="Q92" s="702"/>
      <c r="R92" s="702"/>
      <c r="S92" s="702"/>
      <c r="T92" s="702"/>
      <c r="U92" s="702"/>
      <c r="V92" s="702"/>
      <c r="W92" s="702"/>
      <c r="X92" s="702"/>
      <c r="Y92" s="702"/>
      <c r="Z92" s="702"/>
      <c r="AA92" s="702"/>
      <c r="AB92" s="702"/>
      <c r="AC92" s="702"/>
      <c r="AD92" s="702"/>
    </row>
    <row r="93" spans="2:30" ht="15.75">
      <c r="B93" s="705"/>
      <c r="C93" s="705"/>
      <c r="D93" s="705"/>
      <c r="E93" s="705"/>
      <c r="F93" s="705"/>
      <c r="G93" s="705"/>
      <c r="H93" s="705"/>
      <c r="I93" s="705"/>
      <c r="J93" s="705"/>
      <c r="K93" s="705"/>
      <c r="L93" s="702"/>
      <c r="M93" s="702"/>
      <c r="N93" s="702"/>
      <c r="O93" s="702"/>
      <c r="P93" s="702"/>
      <c r="Q93" s="702"/>
      <c r="R93" s="702"/>
      <c r="S93" s="702"/>
      <c r="T93" s="702"/>
      <c r="U93" s="702"/>
      <c r="V93" s="702"/>
      <c r="W93" s="702"/>
      <c r="X93" s="702"/>
      <c r="Y93" s="702"/>
      <c r="Z93" s="702"/>
      <c r="AA93" s="702"/>
      <c r="AB93" s="702"/>
      <c r="AC93" s="702"/>
      <c r="AD93" s="702"/>
    </row>
    <row r="94" spans="2:30" ht="15.75">
      <c r="B94" s="705"/>
      <c r="C94" s="705"/>
      <c r="D94" s="705"/>
      <c r="E94" s="705"/>
      <c r="F94" s="705"/>
      <c r="G94" s="705"/>
      <c r="H94" s="705"/>
      <c r="I94" s="705"/>
      <c r="J94" s="705"/>
      <c r="K94" s="705"/>
      <c r="L94" s="702"/>
      <c r="M94" s="702"/>
      <c r="N94" s="702"/>
      <c r="O94" s="702"/>
      <c r="P94" s="702"/>
      <c r="Q94" s="702"/>
      <c r="R94" s="702"/>
      <c r="S94" s="702"/>
      <c r="T94" s="702"/>
      <c r="U94" s="702"/>
      <c r="V94" s="702"/>
      <c r="W94" s="702"/>
      <c r="X94" s="702"/>
      <c r="Y94" s="702"/>
      <c r="Z94" s="702"/>
      <c r="AA94" s="702"/>
      <c r="AB94" s="702"/>
      <c r="AC94" s="702"/>
      <c r="AD94" s="702"/>
    </row>
    <row r="95" spans="2:30" ht="15.75">
      <c r="B95" s="705"/>
      <c r="C95" s="705"/>
      <c r="D95" s="705"/>
      <c r="E95" s="705"/>
      <c r="F95" s="705"/>
      <c r="G95" s="705"/>
      <c r="H95" s="705"/>
      <c r="I95" s="705"/>
      <c r="J95" s="705"/>
      <c r="K95" s="705"/>
      <c r="L95" s="702"/>
      <c r="M95" s="702"/>
      <c r="N95" s="702"/>
      <c r="O95" s="702"/>
      <c r="P95" s="702"/>
      <c r="Q95" s="702"/>
      <c r="R95" s="702"/>
      <c r="S95" s="702"/>
      <c r="T95" s="702"/>
      <c r="U95" s="702"/>
      <c r="V95" s="702"/>
      <c r="W95" s="702"/>
      <c r="X95" s="702"/>
      <c r="Y95" s="702"/>
      <c r="Z95" s="702"/>
      <c r="AA95" s="702"/>
      <c r="AB95" s="702"/>
      <c r="AC95" s="702"/>
      <c r="AD95" s="702"/>
    </row>
    <row r="96" spans="2:30" ht="15.75">
      <c r="B96" s="705"/>
      <c r="C96" s="705"/>
      <c r="D96" s="705"/>
      <c r="E96" s="705"/>
      <c r="F96" s="705"/>
      <c r="G96" s="705"/>
      <c r="H96" s="705"/>
      <c r="I96" s="705"/>
      <c r="J96" s="705"/>
      <c r="K96" s="705"/>
      <c r="L96" s="702"/>
      <c r="M96" s="702"/>
      <c r="N96" s="702"/>
      <c r="O96" s="702"/>
      <c r="P96" s="702"/>
      <c r="Q96" s="702"/>
      <c r="R96" s="702"/>
      <c r="S96" s="702"/>
      <c r="T96" s="702"/>
      <c r="U96" s="702"/>
      <c r="V96" s="702"/>
      <c r="W96" s="702"/>
      <c r="X96" s="702"/>
      <c r="Y96" s="702"/>
      <c r="Z96" s="702"/>
      <c r="AA96" s="702"/>
      <c r="AB96" s="702"/>
      <c r="AC96" s="702"/>
      <c r="AD96" s="702"/>
    </row>
    <row r="97" spans="2:30" ht="15.75">
      <c r="B97" s="705"/>
      <c r="C97" s="705"/>
      <c r="D97" s="705"/>
      <c r="E97" s="705"/>
      <c r="F97" s="705"/>
      <c r="G97" s="705"/>
      <c r="H97" s="705"/>
      <c r="I97" s="705"/>
      <c r="J97" s="705"/>
      <c r="K97" s="705"/>
      <c r="L97" s="702"/>
      <c r="M97" s="702"/>
      <c r="N97" s="702"/>
      <c r="O97" s="702"/>
      <c r="P97" s="702"/>
      <c r="Q97" s="702"/>
      <c r="R97" s="702"/>
      <c r="S97" s="702"/>
      <c r="T97" s="702"/>
      <c r="U97" s="702"/>
      <c r="V97" s="702"/>
      <c r="W97" s="702"/>
      <c r="X97" s="702"/>
      <c r="Y97" s="702"/>
      <c r="Z97" s="702"/>
      <c r="AA97" s="702"/>
      <c r="AB97" s="702"/>
      <c r="AC97" s="702"/>
      <c r="AD97" s="702"/>
    </row>
    <row r="98" spans="2:30" ht="15.75">
      <c r="B98" s="705"/>
      <c r="C98" s="705"/>
      <c r="D98" s="705"/>
      <c r="E98" s="705"/>
      <c r="F98" s="705"/>
      <c r="G98" s="705"/>
      <c r="H98" s="705"/>
      <c r="I98" s="705"/>
      <c r="J98" s="705"/>
      <c r="K98" s="705"/>
      <c r="L98" s="702"/>
      <c r="M98" s="702"/>
      <c r="N98" s="702"/>
      <c r="O98" s="702"/>
      <c r="P98" s="702"/>
      <c r="Q98" s="702"/>
      <c r="R98" s="702"/>
      <c r="S98" s="702"/>
      <c r="T98" s="702"/>
      <c r="U98" s="702"/>
      <c r="V98" s="702"/>
      <c r="W98" s="702"/>
      <c r="X98" s="702"/>
      <c r="Y98" s="702"/>
      <c r="Z98" s="702"/>
      <c r="AA98" s="702"/>
      <c r="AB98" s="702"/>
      <c r="AC98" s="702"/>
      <c r="AD98" s="702"/>
    </row>
    <row r="99" spans="2:30" ht="15.75">
      <c r="B99" s="705"/>
      <c r="C99" s="705"/>
      <c r="D99" s="705"/>
      <c r="E99" s="705"/>
      <c r="F99" s="705"/>
      <c r="G99" s="705"/>
      <c r="H99" s="705"/>
      <c r="I99" s="705"/>
      <c r="J99" s="705"/>
      <c r="K99" s="705"/>
      <c r="L99" s="702"/>
      <c r="M99" s="702"/>
      <c r="N99" s="702"/>
      <c r="O99" s="702"/>
      <c r="P99" s="702"/>
      <c r="Q99" s="702"/>
      <c r="R99" s="702"/>
      <c r="S99" s="702"/>
      <c r="T99" s="702"/>
      <c r="U99" s="702"/>
      <c r="V99" s="702"/>
      <c r="W99" s="702"/>
      <c r="X99" s="702"/>
      <c r="Y99" s="702"/>
      <c r="Z99" s="702"/>
      <c r="AA99" s="702"/>
      <c r="AB99" s="702"/>
      <c r="AC99" s="702"/>
      <c r="AD99" s="702"/>
    </row>
    <row r="100" spans="2:30" ht="15.75">
      <c r="B100" s="705"/>
      <c r="C100" s="705"/>
      <c r="D100" s="705"/>
      <c r="E100" s="705"/>
      <c r="F100" s="705"/>
      <c r="G100" s="705"/>
      <c r="H100" s="705"/>
      <c r="I100" s="705"/>
      <c r="J100" s="705"/>
      <c r="K100" s="705"/>
      <c r="L100" s="702"/>
      <c r="M100" s="702"/>
      <c r="N100" s="702"/>
      <c r="O100" s="702"/>
      <c r="P100" s="702"/>
      <c r="Q100" s="702"/>
      <c r="R100" s="702"/>
      <c r="S100" s="702"/>
      <c r="T100" s="702"/>
      <c r="U100" s="702"/>
      <c r="V100" s="702"/>
      <c r="W100" s="702"/>
      <c r="X100" s="702"/>
      <c r="Y100" s="702"/>
      <c r="Z100" s="702"/>
      <c r="AA100" s="702"/>
      <c r="AB100" s="702"/>
      <c r="AC100" s="702"/>
      <c r="AD100" s="702"/>
    </row>
    <row r="101" spans="2:30" ht="15.75">
      <c r="B101" s="705"/>
      <c r="C101" s="705"/>
      <c r="D101" s="705"/>
      <c r="E101" s="705"/>
      <c r="F101" s="705"/>
      <c r="G101" s="705"/>
      <c r="H101" s="705"/>
      <c r="I101" s="705"/>
      <c r="J101" s="705"/>
      <c r="K101" s="705"/>
      <c r="L101" s="702"/>
      <c r="M101" s="702"/>
      <c r="N101" s="702"/>
      <c r="O101" s="702"/>
      <c r="P101" s="702"/>
      <c r="Q101" s="702"/>
      <c r="R101" s="702"/>
      <c r="S101" s="702"/>
      <c r="T101" s="702"/>
      <c r="U101" s="702"/>
      <c r="V101" s="702"/>
      <c r="W101" s="702"/>
      <c r="X101" s="702"/>
      <c r="Y101" s="702"/>
      <c r="Z101" s="702"/>
      <c r="AA101" s="702"/>
      <c r="AB101" s="702"/>
      <c r="AC101" s="702"/>
      <c r="AD101" s="702"/>
    </row>
    <row r="102" spans="2:30" ht="15.75">
      <c r="B102" s="705"/>
      <c r="C102" s="705"/>
      <c r="D102" s="705"/>
      <c r="E102" s="705"/>
      <c r="F102" s="705"/>
      <c r="G102" s="705"/>
      <c r="H102" s="705"/>
      <c r="I102" s="705"/>
      <c r="J102" s="705"/>
      <c r="K102" s="705"/>
      <c r="L102" s="702"/>
      <c r="M102" s="702"/>
      <c r="N102" s="702"/>
      <c r="O102" s="702"/>
      <c r="P102" s="702"/>
      <c r="Q102" s="702"/>
      <c r="R102" s="702"/>
      <c r="S102" s="702"/>
      <c r="T102" s="702"/>
      <c r="U102" s="702"/>
      <c r="V102" s="702"/>
      <c r="W102" s="702"/>
      <c r="X102" s="702"/>
      <c r="Y102" s="702"/>
      <c r="Z102" s="702"/>
      <c r="AA102" s="702"/>
      <c r="AB102" s="702"/>
      <c r="AC102" s="702"/>
      <c r="AD102" s="702"/>
    </row>
    <row r="103" spans="2:30" ht="15.75">
      <c r="B103" s="705"/>
      <c r="C103" s="705"/>
      <c r="D103" s="705"/>
      <c r="E103" s="705"/>
      <c r="F103" s="705"/>
      <c r="G103" s="705"/>
      <c r="H103" s="705"/>
      <c r="I103" s="705"/>
      <c r="J103" s="705"/>
      <c r="K103" s="705"/>
      <c r="L103" s="702"/>
      <c r="M103" s="702"/>
      <c r="N103" s="702"/>
      <c r="O103" s="702"/>
      <c r="P103" s="702"/>
      <c r="Q103" s="702"/>
      <c r="R103" s="702"/>
      <c r="S103" s="702"/>
      <c r="T103" s="702"/>
      <c r="U103" s="702"/>
      <c r="V103" s="702"/>
      <c r="W103" s="702"/>
      <c r="X103" s="702"/>
      <c r="Y103" s="702"/>
      <c r="Z103" s="702"/>
      <c r="AA103" s="702"/>
      <c r="AB103" s="702"/>
      <c r="AC103" s="702"/>
      <c r="AD103" s="702"/>
    </row>
    <row r="104" spans="2:30" ht="15.75">
      <c r="B104" s="705"/>
      <c r="C104" s="705"/>
      <c r="D104" s="705"/>
      <c r="E104" s="705"/>
      <c r="F104" s="705"/>
      <c r="G104" s="705"/>
      <c r="H104" s="705"/>
      <c r="I104" s="705"/>
      <c r="J104" s="705"/>
      <c r="K104" s="705"/>
      <c r="L104" s="702"/>
      <c r="M104" s="702"/>
      <c r="N104" s="702"/>
      <c r="O104" s="702"/>
      <c r="P104" s="702"/>
      <c r="Q104" s="702"/>
      <c r="R104" s="702"/>
      <c r="S104" s="702"/>
      <c r="T104" s="702"/>
      <c r="U104" s="702"/>
      <c r="V104" s="702"/>
      <c r="W104" s="702"/>
      <c r="X104" s="702"/>
      <c r="Y104" s="702"/>
      <c r="Z104" s="702"/>
      <c r="AA104" s="702"/>
      <c r="AB104" s="702"/>
      <c r="AC104" s="702"/>
      <c r="AD104" s="702"/>
    </row>
    <row r="105" spans="2:30" ht="15.75">
      <c r="B105" s="705"/>
      <c r="C105" s="705"/>
      <c r="D105" s="705"/>
      <c r="E105" s="705"/>
      <c r="F105" s="705"/>
      <c r="G105" s="705"/>
      <c r="H105" s="705"/>
      <c r="I105" s="705"/>
      <c r="J105" s="705"/>
      <c r="K105" s="705"/>
      <c r="L105" s="702"/>
      <c r="M105" s="702"/>
      <c r="N105" s="702"/>
      <c r="O105" s="702"/>
      <c r="P105" s="702"/>
      <c r="Q105" s="702"/>
      <c r="R105" s="702"/>
      <c r="S105" s="702"/>
      <c r="T105" s="702"/>
      <c r="U105" s="702"/>
      <c r="V105" s="702"/>
      <c r="W105" s="702"/>
      <c r="X105" s="702"/>
      <c r="Y105" s="702"/>
      <c r="Z105" s="702"/>
      <c r="AA105" s="702"/>
      <c r="AB105" s="702"/>
      <c r="AC105" s="702"/>
      <c r="AD105" s="702"/>
    </row>
    <row r="106" spans="2:30" ht="15.75">
      <c r="B106" s="705"/>
      <c r="C106" s="705"/>
      <c r="D106" s="705"/>
      <c r="E106" s="705"/>
      <c r="F106" s="705"/>
      <c r="G106" s="705"/>
      <c r="H106" s="705"/>
      <c r="I106" s="705"/>
      <c r="J106" s="705"/>
      <c r="K106" s="705"/>
      <c r="L106" s="702"/>
      <c r="M106" s="702"/>
      <c r="N106" s="702"/>
      <c r="O106" s="702"/>
      <c r="P106" s="702"/>
      <c r="Q106" s="702"/>
      <c r="R106" s="702"/>
      <c r="S106" s="702"/>
      <c r="T106" s="702"/>
      <c r="U106" s="702"/>
      <c r="V106" s="702"/>
      <c r="W106" s="702"/>
      <c r="X106" s="702"/>
      <c r="Y106" s="702"/>
      <c r="Z106" s="702"/>
      <c r="AA106" s="702"/>
      <c r="AB106" s="702"/>
      <c r="AC106" s="702"/>
      <c r="AD106" s="702"/>
    </row>
    <row r="107" spans="2:30" ht="15.75">
      <c r="B107" s="705"/>
      <c r="C107" s="705"/>
      <c r="D107" s="705"/>
      <c r="E107" s="705"/>
      <c r="F107" s="705"/>
      <c r="G107" s="705"/>
      <c r="H107" s="705"/>
      <c r="I107" s="705"/>
      <c r="J107" s="705"/>
      <c r="K107" s="705"/>
      <c r="L107" s="702"/>
      <c r="M107" s="702"/>
      <c r="N107" s="702"/>
      <c r="O107" s="702"/>
      <c r="P107" s="702"/>
      <c r="Q107" s="702"/>
      <c r="R107" s="702"/>
      <c r="S107" s="702"/>
      <c r="T107" s="702"/>
      <c r="U107" s="702"/>
      <c r="V107" s="702"/>
      <c r="W107" s="702"/>
      <c r="X107" s="702"/>
      <c r="Y107" s="702"/>
      <c r="Z107" s="702"/>
      <c r="AA107" s="702"/>
      <c r="AB107" s="702"/>
      <c r="AC107" s="702"/>
      <c r="AD107" s="702"/>
    </row>
    <row r="108" spans="2:30" ht="15.75">
      <c r="B108" s="705"/>
      <c r="C108" s="705"/>
      <c r="D108" s="705"/>
      <c r="E108" s="705"/>
      <c r="F108" s="705"/>
      <c r="G108" s="705"/>
      <c r="H108" s="705"/>
      <c r="I108" s="705"/>
      <c r="J108" s="705"/>
      <c r="K108" s="705"/>
      <c r="L108" s="702"/>
      <c r="M108" s="702"/>
      <c r="N108" s="702"/>
      <c r="O108" s="702"/>
      <c r="P108" s="702"/>
      <c r="Q108" s="702"/>
      <c r="R108" s="702"/>
      <c r="S108" s="702"/>
      <c r="T108" s="702"/>
      <c r="U108" s="702"/>
      <c r="V108" s="702"/>
      <c r="W108" s="702"/>
      <c r="X108" s="702"/>
      <c r="Y108" s="702"/>
      <c r="Z108" s="702"/>
      <c r="AA108" s="702"/>
      <c r="AB108" s="702"/>
      <c r="AC108" s="702"/>
      <c r="AD108" s="702"/>
    </row>
    <row r="109" spans="2:30" ht="15.75">
      <c r="B109" s="705"/>
      <c r="C109" s="705"/>
      <c r="D109" s="705"/>
      <c r="E109" s="705"/>
      <c r="F109" s="705"/>
      <c r="G109" s="705"/>
      <c r="H109" s="705"/>
      <c r="I109" s="705"/>
      <c r="J109" s="705"/>
      <c r="K109" s="705"/>
      <c r="L109" s="702"/>
      <c r="M109" s="702"/>
      <c r="N109" s="702"/>
      <c r="O109" s="702"/>
      <c r="P109" s="702"/>
      <c r="Q109" s="702"/>
      <c r="R109" s="702"/>
      <c r="S109" s="702"/>
      <c r="T109" s="702"/>
      <c r="U109" s="702"/>
      <c r="V109" s="702"/>
      <c r="W109" s="702"/>
      <c r="X109" s="702"/>
      <c r="Y109" s="702"/>
      <c r="Z109" s="702"/>
      <c r="AA109" s="702"/>
      <c r="AB109" s="702"/>
      <c r="AC109" s="702"/>
      <c r="AD109" s="702"/>
    </row>
    <row r="110" spans="2:30" ht="15.75">
      <c r="B110" s="705"/>
      <c r="C110" s="705"/>
      <c r="D110" s="705"/>
      <c r="E110" s="705"/>
      <c r="F110" s="705"/>
      <c r="G110" s="705"/>
      <c r="H110" s="705"/>
      <c r="I110" s="705"/>
      <c r="J110" s="705"/>
      <c r="K110" s="705"/>
      <c r="L110" s="702"/>
      <c r="M110" s="702"/>
      <c r="N110" s="702"/>
      <c r="O110" s="702"/>
      <c r="P110" s="702"/>
      <c r="Q110" s="702"/>
      <c r="R110" s="702"/>
      <c r="S110" s="702"/>
      <c r="T110" s="702"/>
      <c r="U110" s="702"/>
      <c r="V110" s="702"/>
      <c r="W110" s="702"/>
      <c r="X110" s="702"/>
      <c r="Y110" s="702"/>
      <c r="Z110" s="702"/>
      <c r="AA110" s="702"/>
      <c r="AB110" s="702"/>
      <c r="AC110" s="702"/>
      <c r="AD110" s="702"/>
    </row>
    <row r="111" spans="2:30" ht="15.75">
      <c r="B111" s="705"/>
      <c r="C111" s="705"/>
      <c r="D111" s="705"/>
      <c r="E111" s="705"/>
      <c r="F111" s="705"/>
      <c r="G111" s="705"/>
      <c r="H111" s="705"/>
      <c r="I111" s="705"/>
      <c r="J111" s="705"/>
      <c r="K111" s="705"/>
      <c r="L111" s="702"/>
      <c r="M111" s="702"/>
      <c r="N111" s="702"/>
      <c r="O111" s="702"/>
      <c r="P111" s="702"/>
      <c r="Q111" s="702"/>
      <c r="R111" s="702"/>
      <c r="S111" s="702"/>
      <c r="T111" s="702"/>
      <c r="U111" s="702"/>
      <c r="V111" s="702"/>
      <c r="W111" s="702"/>
      <c r="X111" s="702"/>
      <c r="Y111" s="702"/>
      <c r="Z111" s="702"/>
      <c r="AA111" s="702"/>
      <c r="AB111" s="702"/>
      <c r="AC111" s="702"/>
      <c r="AD111" s="702"/>
    </row>
    <row r="112" spans="2:30" ht="15.75">
      <c r="B112" s="705"/>
      <c r="C112" s="705"/>
      <c r="D112" s="705"/>
      <c r="E112" s="705"/>
      <c r="F112" s="705"/>
      <c r="G112" s="705"/>
      <c r="H112" s="705"/>
      <c r="I112" s="705"/>
      <c r="J112" s="705"/>
      <c r="K112" s="705"/>
      <c r="L112" s="702"/>
      <c r="M112" s="702"/>
      <c r="N112" s="702"/>
      <c r="O112" s="702"/>
      <c r="P112" s="702"/>
      <c r="Q112" s="702"/>
      <c r="R112" s="702"/>
      <c r="S112" s="702"/>
      <c r="T112" s="702"/>
      <c r="U112" s="702"/>
      <c r="V112" s="702"/>
      <c r="W112" s="702"/>
      <c r="X112" s="702"/>
      <c r="Y112" s="702"/>
      <c r="Z112" s="702"/>
      <c r="AA112" s="702"/>
      <c r="AB112" s="702"/>
      <c r="AC112" s="702"/>
      <c r="AD112" s="702"/>
    </row>
    <row r="113" spans="2:30" ht="15.75">
      <c r="B113" s="705"/>
      <c r="C113" s="705"/>
      <c r="D113" s="705"/>
      <c r="E113" s="705"/>
      <c r="F113" s="705"/>
      <c r="G113" s="705"/>
      <c r="H113" s="705"/>
      <c r="I113" s="705"/>
      <c r="J113" s="705"/>
      <c r="K113" s="705"/>
      <c r="L113" s="702"/>
      <c r="M113" s="702"/>
      <c r="N113" s="702"/>
      <c r="O113" s="702"/>
      <c r="P113" s="702"/>
      <c r="Q113" s="702"/>
      <c r="R113" s="702"/>
      <c r="S113" s="702"/>
      <c r="T113" s="702"/>
      <c r="U113" s="702"/>
      <c r="V113" s="702"/>
      <c r="W113" s="702"/>
      <c r="X113" s="702"/>
      <c r="Y113" s="702"/>
      <c r="Z113" s="702"/>
      <c r="AA113" s="702"/>
      <c r="AB113" s="702"/>
      <c r="AC113" s="702"/>
      <c r="AD113" s="702"/>
    </row>
    <row r="114" spans="2:30" ht="15.75">
      <c r="B114" s="705"/>
      <c r="C114" s="705"/>
      <c r="D114" s="705"/>
      <c r="E114" s="705"/>
      <c r="F114" s="705"/>
      <c r="G114" s="705"/>
      <c r="H114" s="705"/>
      <c r="I114" s="705"/>
      <c r="J114" s="705"/>
      <c r="K114" s="705"/>
      <c r="L114" s="702"/>
      <c r="M114" s="702"/>
      <c r="N114" s="702"/>
      <c r="O114" s="702"/>
      <c r="P114" s="702"/>
      <c r="Q114" s="702"/>
      <c r="R114" s="702"/>
      <c r="S114" s="702"/>
      <c r="T114" s="702"/>
      <c r="U114" s="702"/>
      <c r="V114" s="702"/>
      <c r="W114" s="702"/>
      <c r="X114" s="702"/>
      <c r="Y114" s="702"/>
      <c r="Z114" s="702"/>
      <c r="AA114" s="702"/>
      <c r="AB114" s="702"/>
      <c r="AC114" s="702"/>
      <c r="AD114" s="702"/>
    </row>
    <row r="115" spans="2:30" ht="15.75">
      <c r="B115" s="705"/>
      <c r="C115" s="705"/>
      <c r="D115" s="705"/>
      <c r="E115" s="705"/>
      <c r="F115" s="705"/>
      <c r="G115" s="705"/>
      <c r="H115" s="705"/>
      <c r="I115" s="705"/>
      <c r="J115" s="705"/>
      <c r="K115" s="705"/>
      <c r="L115" s="702"/>
      <c r="M115" s="702"/>
      <c r="N115" s="702"/>
      <c r="O115" s="702"/>
      <c r="P115" s="702"/>
      <c r="Q115" s="702"/>
      <c r="R115" s="702"/>
      <c r="S115" s="702"/>
      <c r="T115" s="702"/>
      <c r="U115" s="702"/>
      <c r="V115" s="702"/>
      <c r="W115" s="702"/>
      <c r="X115" s="702"/>
      <c r="Y115" s="702"/>
      <c r="Z115" s="702"/>
      <c r="AA115" s="702"/>
      <c r="AB115" s="702"/>
      <c r="AC115" s="702"/>
      <c r="AD115" s="702"/>
    </row>
    <row r="116" spans="2:30" ht="15.75">
      <c r="B116" s="705"/>
      <c r="C116" s="705"/>
      <c r="D116" s="705"/>
      <c r="E116" s="705"/>
      <c r="F116" s="705"/>
      <c r="G116" s="705"/>
      <c r="H116" s="705"/>
      <c r="I116" s="705"/>
      <c r="J116" s="705"/>
      <c r="K116" s="705"/>
      <c r="L116" s="702"/>
      <c r="M116" s="702"/>
      <c r="N116" s="702"/>
      <c r="O116" s="702"/>
      <c r="P116" s="702"/>
      <c r="Q116" s="702"/>
      <c r="R116" s="702"/>
      <c r="S116" s="702"/>
      <c r="T116" s="702"/>
      <c r="U116" s="702"/>
      <c r="V116" s="702"/>
      <c r="W116" s="702"/>
      <c r="X116" s="702"/>
      <c r="Y116" s="702"/>
      <c r="Z116" s="702"/>
      <c r="AA116" s="702"/>
      <c r="AB116" s="702"/>
      <c r="AC116" s="702"/>
      <c r="AD116" s="702"/>
    </row>
    <row r="117" spans="2:30" ht="15.75">
      <c r="B117" s="705"/>
      <c r="C117" s="705"/>
      <c r="D117" s="705"/>
      <c r="E117" s="705"/>
      <c r="F117" s="705"/>
      <c r="G117" s="705"/>
      <c r="H117" s="705"/>
      <c r="I117" s="705"/>
      <c r="J117" s="705"/>
      <c r="K117" s="705"/>
      <c r="L117" s="702"/>
      <c r="M117" s="702"/>
      <c r="N117" s="702"/>
      <c r="O117" s="702"/>
      <c r="P117" s="702"/>
      <c r="Q117" s="702"/>
      <c r="R117" s="702"/>
      <c r="S117" s="702"/>
      <c r="T117" s="702"/>
      <c r="U117" s="702"/>
      <c r="V117" s="702"/>
      <c r="W117" s="702"/>
      <c r="X117" s="702"/>
      <c r="Y117" s="702"/>
      <c r="Z117" s="702"/>
      <c r="AA117" s="702"/>
      <c r="AB117" s="702"/>
      <c r="AC117" s="702"/>
      <c r="AD117" s="702"/>
    </row>
    <row r="118" spans="2:30" ht="15.75">
      <c r="B118" s="705"/>
      <c r="C118" s="705"/>
      <c r="D118" s="705"/>
      <c r="E118" s="705"/>
      <c r="F118" s="705"/>
      <c r="G118" s="705"/>
      <c r="H118" s="705"/>
      <c r="I118" s="705"/>
      <c r="J118" s="705"/>
      <c r="K118" s="705"/>
      <c r="L118" s="702"/>
      <c r="M118" s="702"/>
      <c r="N118" s="702"/>
      <c r="O118" s="702"/>
      <c r="P118" s="702"/>
      <c r="Q118" s="702"/>
      <c r="R118" s="702"/>
      <c r="S118" s="702"/>
      <c r="T118" s="702"/>
      <c r="U118" s="702"/>
      <c r="V118" s="702"/>
      <c r="W118" s="702"/>
      <c r="X118" s="702"/>
      <c r="Y118" s="702"/>
      <c r="Z118" s="702"/>
      <c r="AA118" s="702"/>
      <c r="AB118" s="702"/>
      <c r="AC118" s="702"/>
      <c r="AD118" s="702"/>
    </row>
    <row r="119" spans="2:30" ht="15.75">
      <c r="B119" s="705"/>
      <c r="C119" s="705"/>
      <c r="D119" s="705"/>
      <c r="E119" s="705"/>
      <c r="F119" s="705"/>
      <c r="G119" s="705"/>
      <c r="H119" s="705"/>
      <c r="I119" s="705"/>
      <c r="J119" s="705"/>
      <c r="K119" s="705"/>
      <c r="L119" s="702"/>
      <c r="M119" s="702"/>
      <c r="N119" s="702"/>
      <c r="O119" s="702"/>
      <c r="P119" s="702"/>
      <c r="Q119" s="702"/>
      <c r="R119" s="702"/>
      <c r="S119" s="702"/>
      <c r="T119" s="702"/>
      <c r="U119" s="702"/>
      <c r="V119" s="702"/>
      <c r="W119" s="702"/>
      <c r="X119" s="702"/>
      <c r="Y119" s="702"/>
      <c r="Z119" s="702"/>
      <c r="AA119" s="702"/>
      <c r="AB119" s="702"/>
      <c r="AC119" s="702"/>
      <c r="AD119" s="702"/>
    </row>
    <row r="120" spans="2:30" ht="15.75">
      <c r="B120" s="705"/>
      <c r="C120" s="705"/>
      <c r="D120" s="705"/>
      <c r="E120" s="705"/>
      <c r="F120" s="705"/>
      <c r="G120" s="705"/>
      <c r="H120" s="705"/>
      <c r="I120" s="705"/>
      <c r="J120" s="705"/>
      <c r="K120" s="705"/>
      <c r="L120" s="702"/>
      <c r="M120" s="702"/>
      <c r="N120" s="702"/>
      <c r="O120" s="702"/>
      <c r="P120" s="702"/>
      <c r="Q120" s="702"/>
      <c r="R120" s="702"/>
      <c r="S120" s="702"/>
      <c r="T120" s="702"/>
      <c r="U120" s="702"/>
      <c r="V120" s="702"/>
      <c r="W120" s="702"/>
      <c r="X120" s="702"/>
      <c r="Y120" s="702"/>
      <c r="Z120" s="702"/>
      <c r="AA120" s="702"/>
      <c r="AB120" s="702"/>
      <c r="AC120" s="702"/>
      <c r="AD120" s="702"/>
    </row>
    <row r="121" spans="2:30" ht="15.75">
      <c r="B121" s="705"/>
      <c r="C121" s="705"/>
      <c r="D121" s="705"/>
      <c r="E121" s="705"/>
      <c r="F121" s="705"/>
      <c r="G121" s="705"/>
      <c r="H121" s="705"/>
      <c r="I121" s="705"/>
      <c r="J121" s="705"/>
      <c r="K121" s="705"/>
      <c r="L121" s="702"/>
      <c r="M121" s="702"/>
      <c r="N121" s="702"/>
      <c r="O121" s="702"/>
      <c r="P121" s="702"/>
      <c r="Q121" s="702"/>
      <c r="R121" s="702"/>
      <c r="S121" s="702"/>
      <c r="T121" s="702"/>
      <c r="U121" s="702"/>
      <c r="V121" s="702"/>
      <c r="W121" s="702"/>
      <c r="X121" s="702"/>
      <c r="Y121" s="702"/>
      <c r="Z121" s="702"/>
      <c r="AA121" s="702"/>
      <c r="AB121" s="702"/>
      <c r="AC121" s="702"/>
      <c r="AD121" s="702"/>
    </row>
    <row r="122" spans="2:30" ht="15.75">
      <c r="B122" s="705"/>
      <c r="C122" s="705"/>
      <c r="D122" s="705"/>
      <c r="E122" s="705"/>
      <c r="F122" s="705"/>
      <c r="G122" s="705"/>
      <c r="H122" s="705"/>
      <c r="I122" s="705"/>
      <c r="J122" s="705"/>
      <c r="K122" s="705"/>
      <c r="L122" s="702"/>
      <c r="M122" s="702"/>
      <c r="N122" s="702"/>
      <c r="O122" s="702"/>
      <c r="P122" s="702"/>
      <c r="Q122" s="702"/>
      <c r="R122" s="702"/>
      <c r="S122" s="702"/>
      <c r="T122" s="702"/>
      <c r="U122" s="702"/>
      <c r="V122" s="702"/>
      <c r="W122" s="702"/>
      <c r="X122" s="702"/>
      <c r="Y122" s="702"/>
      <c r="Z122" s="702"/>
      <c r="AA122" s="702"/>
      <c r="AB122" s="702"/>
      <c r="AC122" s="702"/>
      <c r="AD122" s="702"/>
    </row>
    <row r="123" spans="2:30" ht="15.75">
      <c r="B123" s="705"/>
      <c r="C123" s="705"/>
      <c r="D123" s="705"/>
      <c r="E123" s="705"/>
      <c r="F123" s="705"/>
      <c r="G123" s="705"/>
      <c r="H123" s="705"/>
      <c r="I123" s="705"/>
      <c r="J123" s="705"/>
      <c r="K123" s="705"/>
      <c r="L123" s="702"/>
      <c r="M123" s="702"/>
      <c r="N123" s="702"/>
      <c r="O123" s="702"/>
      <c r="P123" s="702"/>
      <c r="Q123" s="702"/>
      <c r="R123" s="702"/>
      <c r="S123" s="702"/>
      <c r="T123" s="702"/>
      <c r="U123" s="702"/>
      <c r="V123" s="702"/>
      <c r="W123" s="702"/>
      <c r="X123" s="702"/>
      <c r="Y123" s="702"/>
      <c r="Z123" s="702"/>
      <c r="AA123" s="702"/>
      <c r="AB123" s="702"/>
      <c r="AC123" s="702"/>
      <c r="AD123" s="702"/>
    </row>
    <row r="124" spans="2:30" ht="15.75">
      <c r="B124" s="705"/>
      <c r="C124" s="705"/>
      <c r="D124" s="705"/>
      <c r="E124" s="705"/>
      <c r="F124" s="705"/>
      <c r="G124" s="705"/>
      <c r="H124" s="705"/>
      <c r="I124" s="705"/>
      <c r="J124" s="705"/>
      <c r="K124" s="705"/>
      <c r="L124" s="702"/>
      <c r="M124" s="702"/>
      <c r="N124" s="702"/>
      <c r="O124" s="702"/>
      <c r="P124" s="702"/>
      <c r="Q124" s="702"/>
      <c r="R124" s="702"/>
      <c r="S124" s="702"/>
      <c r="T124" s="702"/>
      <c r="U124" s="702"/>
      <c r="V124" s="702"/>
      <c r="W124" s="702"/>
      <c r="X124" s="702"/>
      <c r="Y124" s="702"/>
      <c r="Z124" s="702"/>
      <c r="AA124" s="702"/>
      <c r="AB124" s="702"/>
      <c r="AC124" s="702"/>
      <c r="AD124" s="702"/>
    </row>
    <row r="125" spans="2:30" ht="15.75">
      <c r="B125" s="705"/>
      <c r="C125" s="705"/>
      <c r="D125" s="705"/>
      <c r="E125" s="705"/>
      <c r="F125" s="705"/>
      <c r="G125" s="705"/>
      <c r="H125" s="705"/>
      <c r="I125" s="705"/>
      <c r="J125" s="705"/>
      <c r="K125" s="705"/>
      <c r="L125" s="702"/>
      <c r="M125" s="702"/>
      <c r="N125" s="702"/>
      <c r="O125" s="702"/>
      <c r="P125" s="702"/>
      <c r="Q125" s="702"/>
      <c r="R125" s="702"/>
      <c r="S125" s="702"/>
      <c r="T125" s="702"/>
      <c r="U125" s="702"/>
      <c r="V125" s="702"/>
      <c r="W125" s="702"/>
      <c r="X125" s="702"/>
      <c r="Y125" s="702"/>
      <c r="Z125" s="702"/>
      <c r="AA125" s="702"/>
      <c r="AB125" s="702"/>
      <c r="AC125" s="702"/>
      <c r="AD125" s="702"/>
    </row>
    <row r="126" spans="2:30" ht="15.75">
      <c r="B126" s="705"/>
      <c r="C126" s="705"/>
      <c r="D126" s="705"/>
      <c r="E126" s="705"/>
      <c r="F126" s="705"/>
      <c r="G126" s="705"/>
      <c r="H126" s="705"/>
      <c r="I126" s="705"/>
      <c r="J126" s="705"/>
      <c r="K126" s="705"/>
      <c r="L126" s="702"/>
      <c r="M126" s="702"/>
      <c r="N126" s="702"/>
      <c r="O126" s="702"/>
      <c r="P126" s="702"/>
      <c r="Q126" s="702"/>
      <c r="R126" s="702"/>
      <c r="S126" s="702"/>
      <c r="T126" s="702"/>
      <c r="U126" s="702"/>
      <c r="V126" s="702"/>
      <c r="W126" s="702"/>
      <c r="X126" s="702"/>
      <c r="Y126" s="702"/>
      <c r="Z126" s="702"/>
      <c r="AA126" s="702"/>
      <c r="AB126" s="702"/>
      <c r="AC126" s="702"/>
      <c r="AD126" s="702"/>
    </row>
    <row r="127" spans="2:30" ht="15.75">
      <c r="B127" s="705"/>
      <c r="C127" s="705"/>
      <c r="D127" s="705"/>
      <c r="E127" s="705"/>
      <c r="F127" s="705"/>
      <c r="G127" s="705"/>
      <c r="H127" s="705"/>
      <c r="I127" s="705"/>
      <c r="J127" s="705"/>
      <c r="K127" s="705"/>
      <c r="L127" s="702"/>
      <c r="M127" s="702"/>
      <c r="N127" s="702"/>
      <c r="O127" s="702"/>
      <c r="P127" s="702"/>
      <c r="Q127" s="702"/>
      <c r="R127" s="702"/>
      <c r="S127" s="702"/>
      <c r="T127" s="702"/>
      <c r="U127" s="702"/>
      <c r="V127" s="702"/>
      <c r="W127" s="702"/>
      <c r="X127" s="702"/>
      <c r="Y127" s="702"/>
      <c r="Z127" s="702"/>
      <c r="AA127" s="702"/>
      <c r="AB127" s="702"/>
      <c r="AC127" s="702"/>
      <c r="AD127" s="702"/>
    </row>
    <row r="128" spans="2:30" ht="15.75">
      <c r="B128" s="705"/>
      <c r="C128" s="705"/>
      <c r="D128" s="705"/>
      <c r="E128" s="705"/>
      <c r="F128" s="705"/>
      <c r="G128" s="705"/>
      <c r="H128" s="705"/>
      <c r="I128" s="705"/>
      <c r="J128" s="705"/>
      <c r="K128" s="705"/>
      <c r="L128" s="702"/>
      <c r="M128" s="702"/>
      <c r="N128" s="702"/>
      <c r="O128" s="702"/>
      <c r="P128" s="702"/>
      <c r="Q128" s="702"/>
      <c r="R128" s="702"/>
      <c r="S128" s="702"/>
      <c r="T128" s="702"/>
      <c r="U128" s="702"/>
      <c r="V128" s="702"/>
      <c r="W128" s="702"/>
      <c r="X128" s="702"/>
      <c r="Y128" s="702"/>
      <c r="Z128" s="702"/>
      <c r="AA128" s="702"/>
      <c r="AB128" s="702"/>
      <c r="AC128" s="702"/>
      <c r="AD128" s="702"/>
    </row>
    <row r="129" spans="2:30" ht="15.75">
      <c r="B129" s="705"/>
      <c r="C129" s="705"/>
      <c r="D129" s="705"/>
      <c r="E129" s="705"/>
      <c r="F129" s="705"/>
      <c r="G129" s="705"/>
      <c r="H129" s="705"/>
      <c r="I129" s="705"/>
      <c r="J129" s="705"/>
      <c r="K129" s="705"/>
      <c r="L129" s="702"/>
      <c r="M129" s="702"/>
      <c r="N129" s="702"/>
      <c r="O129" s="702"/>
      <c r="P129" s="702"/>
      <c r="Q129" s="702"/>
      <c r="R129" s="702"/>
      <c r="S129" s="702"/>
      <c r="T129" s="702"/>
      <c r="U129" s="702"/>
      <c r="V129" s="702"/>
      <c r="W129" s="702"/>
      <c r="X129" s="702"/>
      <c r="Y129" s="702"/>
      <c r="Z129" s="702"/>
      <c r="AA129" s="702"/>
      <c r="AB129" s="702"/>
      <c r="AC129" s="702"/>
      <c r="AD129" s="702"/>
    </row>
    <row r="130" spans="2:30" ht="15.75">
      <c r="B130" s="705"/>
      <c r="C130" s="705"/>
      <c r="D130" s="705"/>
      <c r="E130" s="705"/>
      <c r="F130" s="705"/>
      <c r="G130" s="705"/>
      <c r="H130" s="705"/>
      <c r="I130" s="705"/>
      <c r="J130" s="705"/>
      <c r="K130" s="705"/>
      <c r="L130" s="702"/>
      <c r="M130" s="702"/>
      <c r="N130" s="702"/>
      <c r="O130" s="702"/>
      <c r="P130" s="702"/>
      <c r="Q130" s="702"/>
      <c r="R130" s="702"/>
      <c r="S130" s="702"/>
      <c r="T130" s="702"/>
      <c r="U130" s="702"/>
      <c r="V130" s="702"/>
      <c r="W130" s="702"/>
      <c r="X130" s="702"/>
      <c r="Y130" s="702"/>
      <c r="Z130" s="702"/>
      <c r="AA130" s="702"/>
      <c r="AB130" s="702"/>
      <c r="AC130" s="702"/>
      <c r="AD130" s="702"/>
    </row>
    <row r="131" spans="2:30" ht="15.75">
      <c r="B131" s="705"/>
      <c r="C131" s="705"/>
      <c r="D131" s="705"/>
      <c r="E131" s="705"/>
      <c r="F131" s="705"/>
      <c r="G131" s="705"/>
      <c r="H131" s="705"/>
      <c r="I131" s="705"/>
      <c r="J131" s="705"/>
      <c r="K131" s="705"/>
      <c r="L131" s="702"/>
      <c r="M131" s="702"/>
      <c r="N131" s="702"/>
      <c r="O131" s="702"/>
      <c r="P131" s="702"/>
      <c r="Q131" s="702"/>
      <c r="R131" s="702"/>
      <c r="S131" s="702"/>
      <c r="T131" s="702"/>
      <c r="U131" s="702"/>
      <c r="V131" s="702"/>
      <c r="W131" s="702"/>
      <c r="X131" s="702"/>
      <c r="Y131" s="702"/>
      <c r="Z131" s="702"/>
      <c r="AA131" s="702"/>
      <c r="AB131" s="702"/>
      <c r="AC131" s="702"/>
      <c r="AD131" s="702"/>
    </row>
    <row r="132" spans="2:30" ht="15.75">
      <c r="B132" s="705"/>
      <c r="C132" s="705"/>
      <c r="D132" s="705"/>
      <c r="E132" s="705"/>
      <c r="F132" s="705"/>
      <c r="G132" s="705"/>
      <c r="H132" s="705"/>
      <c r="I132" s="705"/>
      <c r="J132" s="705"/>
      <c r="K132" s="705"/>
      <c r="L132" s="702"/>
      <c r="M132" s="702"/>
      <c r="N132" s="702"/>
      <c r="O132" s="702"/>
      <c r="P132" s="702"/>
      <c r="Q132" s="702"/>
      <c r="R132" s="702"/>
      <c r="S132" s="702"/>
      <c r="T132" s="702"/>
      <c r="U132" s="702"/>
      <c r="V132" s="702"/>
      <c r="W132" s="702"/>
      <c r="X132" s="702"/>
      <c r="Y132" s="702"/>
      <c r="Z132" s="702"/>
      <c r="AA132" s="702"/>
      <c r="AB132" s="702"/>
      <c r="AC132" s="702"/>
      <c r="AD132" s="702"/>
    </row>
    <row r="133" spans="2:30" ht="15.75">
      <c r="B133" s="705"/>
      <c r="C133" s="705"/>
      <c r="D133" s="705"/>
      <c r="E133" s="705"/>
      <c r="F133" s="705"/>
      <c r="G133" s="705"/>
      <c r="H133" s="705"/>
      <c r="I133" s="705"/>
      <c r="J133" s="705"/>
      <c r="K133" s="705"/>
      <c r="L133" s="702"/>
      <c r="M133" s="702"/>
      <c r="N133" s="702"/>
      <c r="O133" s="702"/>
      <c r="P133" s="702"/>
      <c r="Q133" s="702"/>
      <c r="R133" s="702"/>
      <c r="S133" s="702"/>
      <c r="T133" s="702"/>
      <c r="U133" s="702"/>
      <c r="V133" s="702"/>
      <c r="W133" s="702"/>
      <c r="X133" s="702"/>
      <c r="Y133" s="702"/>
      <c r="Z133" s="702"/>
      <c r="AA133" s="702"/>
      <c r="AB133" s="702"/>
      <c r="AC133" s="702"/>
      <c r="AD133" s="702"/>
    </row>
    <row r="134" spans="2:30" ht="15.75">
      <c r="B134" s="705"/>
      <c r="C134" s="705"/>
      <c r="D134" s="705"/>
      <c r="E134" s="705"/>
      <c r="F134" s="705"/>
      <c r="G134" s="705"/>
      <c r="H134" s="705"/>
      <c r="I134" s="705"/>
      <c r="J134" s="705"/>
      <c r="K134" s="705"/>
      <c r="L134" s="702"/>
      <c r="M134" s="702"/>
      <c r="N134" s="702"/>
      <c r="O134" s="702"/>
      <c r="P134" s="702"/>
      <c r="Q134" s="702"/>
      <c r="R134" s="702"/>
      <c r="S134" s="702"/>
      <c r="T134" s="702"/>
      <c r="U134" s="702"/>
      <c r="V134" s="702"/>
      <c r="W134" s="702"/>
      <c r="X134" s="702"/>
      <c r="Y134" s="702"/>
      <c r="Z134" s="702"/>
      <c r="AA134" s="702"/>
      <c r="AB134" s="702"/>
      <c r="AC134" s="702"/>
      <c r="AD134" s="702"/>
    </row>
    <row r="135" spans="2:30" ht="15.75">
      <c r="B135" s="705"/>
      <c r="C135" s="705"/>
      <c r="D135" s="705"/>
      <c r="E135" s="705"/>
      <c r="F135" s="705"/>
      <c r="G135" s="705"/>
      <c r="H135" s="705"/>
      <c r="I135" s="705"/>
      <c r="J135" s="705"/>
      <c r="K135" s="705"/>
      <c r="L135" s="702"/>
      <c r="M135" s="702"/>
      <c r="N135" s="702"/>
      <c r="O135" s="702"/>
      <c r="P135" s="702"/>
      <c r="Q135" s="702"/>
      <c r="R135" s="702"/>
      <c r="S135" s="702"/>
      <c r="T135" s="702"/>
      <c r="U135" s="702"/>
      <c r="V135" s="702"/>
      <c r="W135" s="702"/>
      <c r="X135" s="702"/>
      <c r="Y135" s="702"/>
      <c r="Z135" s="702"/>
      <c r="AA135" s="702"/>
      <c r="AB135" s="702"/>
      <c r="AC135" s="702"/>
      <c r="AD135" s="702"/>
    </row>
    <row r="136" spans="2:30" ht="15.75">
      <c r="B136" s="705"/>
      <c r="C136" s="705"/>
      <c r="D136" s="705"/>
      <c r="E136" s="705"/>
      <c r="F136" s="705"/>
      <c r="G136" s="705"/>
      <c r="H136" s="705"/>
      <c r="I136" s="705"/>
      <c r="J136" s="705"/>
      <c r="K136" s="705"/>
      <c r="L136" s="702"/>
      <c r="M136" s="702"/>
      <c r="N136" s="702"/>
      <c r="O136" s="702"/>
      <c r="P136" s="702"/>
      <c r="Q136" s="702"/>
      <c r="R136" s="702"/>
      <c r="S136" s="702"/>
      <c r="T136" s="702"/>
      <c r="U136" s="702"/>
      <c r="V136" s="702"/>
      <c r="W136" s="702"/>
      <c r="X136" s="702"/>
      <c r="Y136" s="702"/>
      <c r="Z136" s="702"/>
      <c r="AA136" s="702"/>
      <c r="AB136" s="702"/>
      <c r="AC136" s="702"/>
      <c r="AD136" s="702"/>
    </row>
    <row r="137" spans="2:30" ht="15.75">
      <c r="B137" s="705"/>
      <c r="C137" s="705"/>
      <c r="D137" s="705"/>
      <c r="E137" s="705"/>
      <c r="F137" s="705"/>
      <c r="G137" s="705"/>
      <c r="H137" s="705"/>
      <c r="I137" s="705"/>
      <c r="J137" s="705"/>
      <c r="K137" s="705"/>
      <c r="L137" s="702"/>
      <c r="M137" s="702"/>
      <c r="N137" s="702"/>
      <c r="O137" s="702"/>
      <c r="P137" s="702"/>
      <c r="Q137" s="702"/>
      <c r="R137" s="702"/>
      <c r="S137" s="702"/>
      <c r="T137" s="702"/>
      <c r="U137" s="702"/>
      <c r="V137" s="702"/>
      <c r="W137" s="702"/>
      <c r="X137" s="702"/>
      <c r="Y137" s="702"/>
      <c r="Z137" s="702"/>
      <c r="AA137" s="702"/>
      <c r="AB137" s="702"/>
      <c r="AC137" s="702"/>
      <c r="AD137" s="702"/>
    </row>
    <row r="138" spans="2:30" ht="15.75">
      <c r="B138" s="705"/>
      <c r="C138" s="705"/>
      <c r="D138" s="705"/>
      <c r="E138" s="705"/>
      <c r="F138" s="705"/>
      <c r="G138" s="705"/>
      <c r="H138" s="705"/>
      <c r="I138" s="705"/>
      <c r="J138" s="705"/>
      <c r="K138" s="705"/>
      <c r="L138" s="702"/>
      <c r="M138" s="702"/>
      <c r="N138" s="702"/>
      <c r="O138" s="702"/>
      <c r="P138" s="702"/>
      <c r="Q138" s="702"/>
      <c r="R138" s="702"/>
      <c r="S138" s="702"/>
      <c r="T138" s="702"/>
      <c r="U138" s="702"/>
      <c r="V138" s="702"/>
      <c r="W138" s="702"/>
      <c r="X138" s="702"/>
      <c r="Y138" s="702"/>
      <c r="Z138" s="702"/>
      <c r="AA138" s="702"/>
      <c r="AB138" s="702"/>
      <c r="AC138" s="702"/>
      <c r="AD138" s="702"/>
    </row>
    <row r="139" spans="2:30" ht="15.75">
      <c r="B139" s="705"/>
      <c r="C139" s="705"/>
      <c r="D139" s="705"/>
      <c r="E139" s="705"/>
      <c r="F139" s="705"/>
      <c r="G139" s="705"/>
      <c r="H139" s="705"/>
      <c r="I139" s="705"/>
      <c r="J139" s="705"/>
      <c r="K139" s="705"/>
      <c r="L139" s="702"/>
      <c r="M139" s="702"/>
      <c r="N139" s="702"/>
      <c r="O139" s="702"/>
      <c r="P139" s="702"/>
      <c r="Q139" s="702"/>
      <c r="R139" s="702"/>
      <c r="S139" s="702"/>
      <c r="T139" s="702"/>
      <c r="U139" s="702"/>
      <c r="V139" s="702"/>
      <c r="W139" s="702"/>
      <c r="X139" s="702"/>
      <c r="Y139" s="702"/>
      <c r="Z139" s="702"/>
      <c r="AA139" s="702"/>
      <c r="AB139" s="702"/>
      <c r="AC139" s="702"/>
      <c r="AD139" s="702"/>
    </row>
    <row r="140" spans="2:30" ht="15.75">
      <c r="B140" s="705"/>
      <c r="C140" s="705"/>
      <c r="D140" s="705"/>
      <c r="E140" s="705"/>
      <c r="F140" s="705"/>
      <c r="G140" s="705"/>
      <c r="H140" s="705"/>
      <c r="I140" s="705"/>
      <c r="J140" s="705"/>
      <c r="K140" s="705"/>
      <c r="L140" s="702"/>
      <c r="M140" s="702"/>
      <c r="N140" s="702"/>
      <c r="O140" s="702"/>
      <c r="P140" s="702"/>
      <c r="Q140" s="702"/>
      <c r="R140" s="702"/>
      <c r="S140" s="702"/>
      <c r="T140" s="702"/>
      <c r="U140" s="702"/>
      <c r="V140" s="702"/>
      <c r="W140" s="702"/>
      <c r="X140" s="702"/>
      <c r="Y140" s="702"/>
      <c r="Z140" s="702"/>
      <c r="AA140" s="702"/>
      <c r="AB140" s="702"/>
      <c r="AC140" s="702"/>
      <c r="AD140" s="702"/>
    </row>
    <row r="141" spans="2:30" ht="15.75">
      <c r="B141" s="705"/>
      <c r="C141" s="705"/>
      <c r="D141" s="705"/>
      <c r="E141" s="705"/>
      <c r="F141" s="705"/>
      <c r="G141" s="705"/>
      <c r="H141" s="705"/>
      <c r="I141" s="705"/>
      <c r="J141" s="705"/>
      <c r="K141" s="705"/>
      <c r="L141" s="702"/>
      <c r="M141" s="702"/>
      <c r="N141" s="702"/>
      <c r="O141" s="702"/>
      <c r="P141" s="702"/>
      <c r="Q141" s="702"/>
      <c r="R141" s="702"/>
      <c r="S141" s="702"/>
      <c r="T141" s="702"/>
      <c r="U141" s="702"/>
      <c r="V141" s="702"/>
      <c r="W141" s="702"/>
      <c r="X141" s="702"/>
      <c r="Y141" s="702"/>
      <c r="Z141" s="702"/>
      <c r="AA141" s="702"/>
      <c r="AB141" s="702"/>
      <c r="AC141" s="702"/>
      <c r="AD141" s="702"/>
    </row>
    <row r="142" spans="2:30" ht="15.75">
      <c r="B142" s="705"/>
      <c r="C142" s="705"/>
      <c r="D142" s="705"/>
      <c r="E142" s="705"/>
      <c r="F142" s="705"/>
      <c r="G142" s="705"/>
      <c r="H142" s="705"/>
      <c r="I142" s="705"/>
      <c r="J142" s="705"/>
      <c r="K142" s="705"/>
      <c r="L142" s="702"/>
      <c r="M142" s="702"/>
      <c r="N142" s="702"/>
      <c r="O142" s="702"/>
      <c r="P142" s="702"/>
      <c r="Q142" s="702"/>
      <c r="R142" s="702"/>
      <c r="S142" s="702"/>
      <c r="T142" s="702"/>
      <c r="U142" s="702"/>
      <c r="V142" s="702"/>
      <c r="W142" s="702"/>
      <c r="X142" s="702"/>
      <c r="Y142" s="702"/>
      <c r="Z142" s="702"/>
      <c r="AA142" s="702"/>
      <c r="AB142" s="702"/>
      <c r="AC142" s="702"/>
      <c r="AD142" s="702"/>
    </row>
    <row r="143" spans="2:30" ht="15.75">
      <c r="B143" s="705"/>
      <c r="C143" s="705"/>
      <c r="D143" s="705"/>
      <c r="E143" s="705"/>
      <c r="F143" s="705"/>
      <c r="G143" s="705"/>
      <c r="H143" s="705"/>
      <c r="I143" s="705"/>
      <c r="J143" s="705"/>
      <c r="K143" s="705"/>
      <c r="L143" s="702"/>
      <c r="M143" s="702"/>
      <c r="N143" s="702"/>
      <c r="O143" s="702"/>
      <c r="P143" s="702"/>
      <c r="Q143" s="702"/>
      <c r="R143" s="702"/>
      <c r="S143" s="702"/>
      <c r="T143" s="702"/>
      <c r="U143" s="702"/>
      <c r="V143" s="702"/>
      <c r="W143" s="702"/>
      <c r="X143" s="702"/>
      <c r="Y143" s="702"/>
      <c r="Z143" s="702"/>
      <c r="AA143" s="702"/>
      <c r="AB143" s="702"/>
      <c r="AC143" s="702"/>
      <c r="AD143" s="702"/>
    </row>
    <row r="144" spans="2:30" ht="15.75">
      <c r="B144" s="705"/>
      <c r="C144" s="705"/>
      <c r="D144" s="705"/>
      <c r="E144" s="705"/>
      <c r="F144" s="705"/>
      <c r="G144" s="705"/>
      <c r="H144" s="705"/>
      <c r="I144" s="705"/>
      <c r="J144" s="705"/>
      <c r="K144" s="705"/>
      <c r="L144" s="702"/>
      <c r="M144" s="702"/>
      <c r="N144" s="702"/>
      <c r="O144" s="702"/>
      <c r="P144" s="702"/>
      <c r="Q144" s="702"/>
      <c r="R144" s="702"/>
      <c r="S144" s="702"/>
      <c r="T144" s="702"/>
      <c r="U144" s="702"/>
      <c r="V144" s="702"/>
      <c r="W144" s="702"/>
      <c r="X144" s="702"/>
      <c r="Y144" s="702"/>
      <c r="Z144" s="702"/>
      <c r="AA144" s="702"/>
      <c r="AB144" s="702"/>
      <c r="AC144" s="702"/>
      <c r="AD144" s="702"/>
    </row>
    <row r="145" spans="2:30" ht="15.75">
      <c r="B145" s="705"/>
      <c r="C145" s="705"/>
      <c r="D145" s="705"/>
      <c r="E145" s="705"/>
      <c r="F145" s="705"/>
      <c r="G145" s="705"/>
      <c r="H145" s="705"/>
      <c r="I145" s="705"/>
      <c r="J145" s="705"/>
      <c r="K145" s="705"/>
      <c r="L145" s="702"/>
      <c r="M145" s="702"/>
      <c r="N145" s="702"/>
      <c r="O145" s="702"/>
      <c r="P145" s="702"/>
      <c r="Q145" s="702"/>
      <c r="R145" s="702"/>
      <c r="S145" s="702"/>
      <c r="T145" s="702"/>
      <c r="U145" s="702"/>
      <c r="V145" s="702"/>
      <c r="W145" s="702"/>
      <c r="X145" s="702"/>
      <c r="Y145" s="702"/>
      <c r="Z145" s="702"/>
      <c r="AA145" s="702"/>
      <c r="AB145" s="702"/>
      <c r="AC145" s="702"/>
      <c r="AD145" s="702"/>
    </row>
    <row r="146" spans="2:30" ht="15.75">
      <c r="B146" s="705"/>
      <c r="C146" s="705"/>
      <c r="D146" s="705"/>
      <c r="E146" s="705"/>
      <c r="F146" s="705"/>
      <c r="G146" s="705"/>
      <c r="H146" s="705"/>
      <c r="I146" s="705"/>
      <c r="J146" s="705"/>
      <c r="K146" s="705"/>
      <c r="L146" s="702"/>
      <c r="M146" s="702"/>
      <c r="N146" s="702"/>
      <c r="O146" s="702"/>
      <c r="P146" s="702"/>
      <c r="Q146" s="702"/>
      <c r="R146" s="702"/>
      <c r="S146" s="702"/>
      <c r="T146" s="702"/>
      <c r="U146" s="702"/>
      <c r="V146" s="702"/>
      <c r="W146" s="702"/>
      <c r="X146" s="702"/>
      <c r="Y146" s="702"/>
      <c r="Z146" s="702"/>
      <c r="AA146" s="702"/>
      <c r="AB146" s="702"/>
      <c r="AC146" s="702"/>
      <c r="AD146" s="702"/>
    </row>
    <row r="147" spans="2:30" ht="15.75">
      <c r="B147" s="705"/>
      <c r="C147" s="705"/>
      <c r="D147" s="705"/>
      <c r="E147" s="705"/>
      <c r="F147" s="705"/>
      <c r="G147" s="705"/>
      <c r="H147" s="705"/>
      <c r="I147" s="705"/>
      <c r="J147" s="705"/>
      <c r="K147" s="705"/>
      <c r="L147" s="702"/>
      <c r="M147" s="702"/>
      <c r="N147" s="702"/>
      <c r="O147" s="702"/>
      <c r="P147" s="702"/>
      <c r="Q147" s="702"/>
      <c r="R147" s="702"/>
      <c r="S147" s="702"/>
      <c r="T147" s="702"/>
      <c r="U147" s="702"/>
      <c r="V147" s="702"/>
      <c r="W147" s="702"/>
      <c r="X147" s="702"/>
      <c r="Y147" s="702"/>
      <c r="Z147" s="702"/>
      <c r="AA147" s="702"/>
      <c r="AB147" s="702"/>
      <c r="AC147" s="702"/>
      <c r="AD147" s="702"/>
    </row>
    <row r="148" spans="2:30" ht="15.75">
      <c r="B148" s="705"/>
      <c r="C148" s="705"/>
      <c r="D148" s="705"/>
      <c r="E148" s="705"/>
      <c r="F148" s="705"/>
      <c r="G148" s="705"/>
      <c r="H148" s="705"/>
      <c r="I148" s="705"/>
      <c r="J148" s="705"/>
      <c r="K148" s="705"/>
      <c r="L148" s="702"/>
      <c r="M148" s="702"/>
      <c r="N148" s="702"/>
      <c r="O148" s="702"/>
      <c r="P148" s="702"/>
      <c r="Q148" s="702"/>
      <c r="R148" s="702"/>
      <c r="S148" s="702"/>
      <c r="T148" s="702"/>
      <c r="U148" s="702"/>
      <c r="V148" s="702"/>
      <c r="W148" s="702"/>
      <c r="X148" s="702"/>
      <c r="Y148" s="702"/>
      <c r="Z148" s="702"/>
      <c r="AA148" s="702"/>
      <c r="AB148" s="702"/>
      <c r="AC148" s="702"/>
      <c r="AD148" s="702"/>
    </row>
    <row r="149" spans="2:30" ht="15.75">
      <c r="B149" s="705"/>
      <c r="C149" s="705"/>
      <c r="D149" s="705"/>
      <c r="E149" s="705"/>
      <c r="F149" s="705"/>
      <c r="G149" s="705"/>
      <c r="H149" s="705"/>
      <c r="I149" s="705"/>
      <c r="J149" s="705"/>
      <c r="K149" s="705"/>
      <c r="L149" s="702"/>
      <c r="M149" s="702"/>
      <c r="N149" s="702"/>
      <c r="O149" s="702"/>
      <c r="P149" s="702"/>
      <c r="Q149" s="702"/>
      <c r="R149" s="702"/>
      <c r="S149" s="702"/>
      <c r="T149" s="702"/>
      <c r="U149" s="702"/>
      <c r="V149" s="702"/>
      <c r="W149" s="702"/>
      <c r="X149" s="702"/>
      <c r="Y149" s="702"/>
      <c r="Z149" s="702"/>
      <c r="AA149" s="702"/>
      <c r="AB149" s="702"/>
      <c r="AC149" s="702"/>
      <c r="AD149" s="702"/>
    </row>
    <row r="150" spans="2:30" ht="15.75">
      <c r="B150" s="705"/>
      <c r="C150" s="705"/>
      <c r="D150" s="705"/>
      <c r="E150" s="705"/>
      <c r="F150" s="705"/>
      <c r="G150" s="705"/>
      <c r="H150" s="705"/>
      <c r="I150" s="705"/>
      <c r="J150" s="705"/>
      <c r="K150" s="705"/>
      <c r="L150" s="702"/>
      <c r="M150" s="702"/>
      <c r="N150" s="702"/>
      <c r="O150" s="702"/>
      <c r="P150" s="702"/>
      <c r="Q150" s="702"/>
      <c r="R150" s="702"/>
      <c r="S150" s="702"/>
      <c r="T150" s="702"/>
      <c r="U150" s="702"/>
      <c r="V150" s="702"/>
      <c r="W150" s="702"/>
      <c r="X150" s="702"/>
      <c r="Y150" s="702"/>
      <c r="Z150" s="702"/>
      <c r="AA150" s="702"/>
      <c r="AB150" s="702"/>
      <c r="AC150" s="702"/>
      <c r="AD150" s="702"/>
    </row>
    <row r="151" spans="2:30" ht="15.75">
      <c r="B151" s="705"/>
      <c r="C151" s="705"/>
      <c r="D151" s="705"/>
      <c r="E151" s="705"/>
      <c r="F151" s="705"/>
      <c r="G151" s="705"/>
      <c r="H151" s="705"/>
      <c r="I151" s="705"/>
      <c r="J151" s="705"/>
      <c r="K151" s="705"/>
      <c r="L151" s="702"/>
      <c r="M151" s="702"/>
      <c r="N151" s="702"/>
      <c r="O151" s="702"/>
      <c r="P151" s="702"/>
      <c r="Q151" s="702"/>
      <c r="R151" s="702"/>
      <c r="S151" s="702"/>
      <c r="T151" s="702"/>
      <c r="U151" s="702"/>
      <c r="V151" s="702"/>
      <c r="W151" s="702"/>
      <c r="X151" s="702"/>
      <c r="Y151" s="702"/>
      <c r="Z151" s="702"/>
      <c r="AA151" s="702"/>
      <c r="AB151" s="702"/>
      <c r="AC151" s="702"/>
      <c r="AD151" s="702"/>
    </row>
    <row r="152" spans="2:30" ht="15.75">
      <c r="B152" s="705"/>
      <c r="C152" s="705"/>
      <c r="D152" s="705"/>
      <c r="E152" s="705"/>
      <c r="F152" s="705"/>
      <c r="G152" s="705"/>
      <c r="H152" s="705"/>
      <c r="I152" s="705"/>
      <c r="J152" s="705"/>
      <c r="K152" s="705"/>
      <c r="L152" s="702"/>
      <c r="M152" s="702"/>
      <c r="N152" s="702"/>
      <c r="O152" s="702"/>
      <c r="P152" s="702"/>
      <c r="Q152" s="702"/>
      <c r="R152" s="702"/>
      <c r="S152" s="702"/>
      <c r="T152" s="702"/>
      <c r="U152" s="702"/>
      <c r="V152" s="702"/>
      <c r="W152" s="702"/>
      <c r="X152" s="702"/>
      <c r="Y152" s="702"/>
      <c r="Z152" s="702"/>
      <c r="AA152" s="702"/>
      <c r="AB152" s="702"/>
      <c r="AC152" s="702"/>
      <c r="AD152" s="702"/>
    </row>
    <row r="153" spans="2:30" ht="15.75">
      <c r="B153" s="705"/>
      <c r="C153" s="705"/>
      <c r="D153" s="705"/>
      <c r="E153" s="705"/>
      <c r="F153" s="705"/>
      <c r="G153" s="705"/>
      <c r="H153" s="705"/>
      <c r="I153" s="705"/>
      <c r="J153" s="705"/>
      <c r="K153" s="705"/>
      <c r="L153" s="702"/>
      <c r="M153" s="702"/>
      <c r="N153" s="702"/>
      <c r="O153" s="702"/>
      <c r="P153" s="702"/>
      <c r="Q153" s="702"/>
      <c r="R153" s="702"/>
      <c r="S153" s="702"/>
      <c r="T153" s="702"/>
      <c r="U153" s="702"/>
      <c r="V153" s="702"/>
      <c r="W153" s="702"/>
      <c r="X153" s="702"/>
      <c r="Y153" s="702"/>
      <c r="Z153" s="702"/>
      <c r="AA153" s="702"/>
      <c r="AB153" s="702"/>
      <c r="AC153" s="702"/>
      <c r="AD153" s="702"/>
    </row>
    <row r="154" spans="2:30" ht="15.75">
      <c r="B154" s="705"/>
      <c r="C154" s="705"/>
      <c r="D154" s="705"/>
      <c r="E154" s="705"/>
      <c r="F154" s="705"/>
      <c r="G154" s="705"/>
      <c r="H154" s="705"/>
      <c r="I154" s="705"/>
      <c r="J154" s="705"/>
      <c r="K154" s="705"/>
      <c r="L154" s="702"/>
      <c r="M154" s="702"/>
      <c r="N154" s="702"/>
      <c r="O154" s="702"/>
      <c r="P154" s="702"/>
      <c r="Q154" s="702"/>
      <c r="R154" s="702"/>
      <c r="S154" s="702"/>
      <c r="T154" s="702"/>
      <c r="U154" s="702"/>
      <c r="V154" s="702"/>
      <c r="W154" s="702"/>
      <c r="X154" s="702"/>
      <c r="Y154" s="702"/>
      <c r="Z154" s="702"/>
      <c r="AA154" s="702"/>
      <c r="AB154" s="702"/>
      <c r="AC154" s="702"/>
      <c r="AD154" s="702"/>
    </row>
    <row r="155" spans="2:30" ht="15.75">
      <c r="B155" s="705"/>
      <c r="C155" s="705"/>
      <c r="D155" s="705"/>
      <c r="E155" s="705"/>
      <c r="F155" s="705"/>
      <c r="G155" s="705"/>
      <c r="H155" s="705"/>
      <c r="I155" s="705"/>
      <c r="J155" s="705"/>
      <c r="K155" s="705"/>
      <c r="L155" s="702"/>
      <c r="M155" s="702"/>
      <c r="N155" s="702"/>
      <c r="O155" s="702"/>
      <c r="P155" s="702"/>
      <c r="Q155" s="702"/>
      <c r="R155" s="702"/>
      <c r="S155" s="702"/>
      <c r="T155" s="702"/>
      <c r="U155" s="702"/>
      <c r="V155" s="702"/>
      <c r="W155" s="702"/>
      <c r="X155" s="702"/>
      <c r="Y155" s="702"/>
      <c r="Z155" s="702"/>
      <c r="AA155" s="702"/>
      <c r="AB155" s="702"/>
      <c r="AC155" s="702"/>
      <c r="AD155" s="702"/>
    </row>
    <row r="156" spans="2:30" ht="15.75">
      <c r="B156" s="705"/>
      <c r="C156" s="705"/>
      <c r="D156" s="705"/>
      <c r="E156" s="705"/>
      <c r="F156" s="705"/>
      <c r="G156" s="705"/>
      <c r="H156" s="705"/>
      <c r="I156" s="705"/>
      <c r="J156" s="705"/>
      <c r="K156" s="705"/>
      <c r="L156" s="702"/>
      <c r="M156" s="702"/>
      <c r="N156" s="702"/>
      <c r="O156" s="702"/>
      <c r="P156" s="702"/>
      <c r="Q156" s="702"/>
      <c r="R156" s="702"/>
      <c r="S156" s="702"/>
      <c r="T156" s="702"/>
      <c r="U156" s="702"/>
      <c r="V156" s="702"/>
      <c r="W156" s="702"/>
      <c r="X156" s="702"/>
      <c r="Y156" s="702"/>
      <c r="Z156" s="702"/>
      <c r="AA156" s="702"/>
      <c r="AB156" s="702"/>
      <c r="AC156" s="702"/>
      <c r="AD156" s="702"/>
    </row>
    <row r="157" spans="2:30" ht="15.75">
      <c r="B157" s="705"/>
      <c r="C157" s="705"/>
      <c r="D157" s="705"/>
      <c r="E157" s="705"/>
      <c r="F157" s="705"/>
      <c r="G157" s="705"/>
      <c r="H157" s="705"/>
      <c r="I157" s="705"/>
      <c r="J157" s="705"/>
      <c r="K157" s="705"/>
      <c r="L157" s="702"/>
      <c r="M157" s="702"/>
      <c r="N157" s="702"/>
      <c r="O157" s="702"/>
      <c r="P157" s="702"/>
      <c r="Q157" s="702"/>
      <c r="R157" s="702"/>
      <c r="S157" s="702"/>
      <c r="T157" s="702"/>
      <c r="U157" s="702"/>
      <c r="V157" s="702"/>
      <c r="W157" s="702"/>
      <c r="X157" s="702"/>
      <c r="Y157" s="702"/>
      <c r="Z157" s="702"/>
      <c r="AA157" s="702"/>
      <c r="AB157" s="702"/>
      <c r="AC157" s="702"/>
      <c r="AD157" s="702"/>
    </row>
    <row r="158" spans="2:30" ht="15.75">
      <c r="B158" s="705"/>
      <c r="C158" s="705"/>
      <c r="D158" s="705"/>
      <c r="E158" s="705"/>
      <c r="F158" s="705"/>
      <c r="G158" s="705"/>
      <c r="H158" s="705"/>
      <c r="I158" s="705"/>
      <c r="J158" s="705"/>
      <c r="K158" s="705"/>
      <c r="L158" s="702"/>
      <c r="M158" s="702"/>
      <c r="N158" s="702"/>
      <c r="O158" s="702"/>
      <c r="P158" s="702"/>
      <c r="Q158" s="702"/>
      <c r="R158" s="702"/>
      <c r="S158" s="702"/>
      <c r="T158" s="702"/>
      <c r="U158" s="702"/>
      <c r="V158" s="702"/>
      <c r="W158" s="702"/>
      <c r="X158" s="702"/>
      <c r="Y158" s="702"/>
      <c r="Z158" s="702"/>
      <c r="AA158" s="702"/>
      <c r="AB158" s="702"/>
      <c r="AC158" s="702"/>
      <c r="AD158" s="702"/>
    </row>
    <row r="159" spans="2:30" ht="15.75">
      <c r="B159" s="705"/>
      <c r="C159" s="705"/>
      <c r="D159" s="705"/>
      <c r="E159" s="705"/>
      <c r="F159" s="705"/>
      <c r="G159" s="705"/>
      <c r="H159" s="705"/>
      <c r="I159" s="705"/>
      <c r="J159" s="705"/>
      <c r="K159" s="705"/>
      <c r="L159" s="702"/>
      <c r="M159" s="702"/>
      <c r="N159" s="702"/>
      <c r="O159" s="702"/>
      <c r="P159" s="702"/>
      <c r="Q159" s="702"/>
      <c r="R159" s="702"/>
      <c r="S159" s="702"/>
      <c r="T159" s="702"/>
      <c r="U159" s="702"/>
      <c r="V159" s="702"/>
      <c r="W159" s="702"/>
      <c r="X159" s="702"/>
      <c r="Y159" s="702"/>
      <c r="Z159" s="702"/>
      <c r="AA159" s="702"/>
      <c r="AB159" s="702"/>
      <c r="AC159" s="702"/>
      <c r="AD159" s="702"/>
    </row>
    <row r="160" spans="2:30" ht="15.75">
      <c r="B160" s="705"/>
      <c r="C160" s="705"/>
      <c r="D160" s="705"/>
      <c r="E160" s="705"/>
      <c r="F160" s="705"/>
      <c r="G160" s="705"/>
      <c r="H160" s="705"/>
      <c r="I160" s="705"/>
      <c r="J160" s="705"/>
      <c r="K160" s="705"/>
      <c r="L160" s="702"/>
      <c r="M160" s="702"/>
      <c r="N160" s="702"/>
      <c r="O160" s="702"/>
      <c r="P160" s="702"/>
      <c r="Q160" s="702"/>
      <c r="R160" s="702"/>
      <c r="S160" s="702"/>
      <c r="T160" s="702"/>
      <c r="U160" s="702"/>
      <c r="V160" s="702"/>
      <c r="W160" s="702"/>
      <c r="X160" s="702"/>
      <c r="Y160" s="702"/>
      <c r="Z160" s="702"/>
      <c r="AA160" s="702"/>
      <c r="AB160" s="702"/>
      <c r="AC160" s="702"/>
      <c r="AD160" s="702"/>
    </row>
    <row r="161" spans="2:30" ht="15.75">
      <c r="B161" s="705"/>
      <c r="C161" s="705"/>
      <c r="D161" s="705"/>
      <c r="E161" s="705"/>
      <c r="F161" s="705"/>
      <c r="G161" s="705"/>
      <c r="H161" s="705"/>
      <c r="I161" s="705"/>
      <c r="J161" s="705"/>
      <c r="K161" s="705"/>
      <c r="L161" s="702"/>
      <c r="M161" s="702"/>
      <c r="N161" s="702"/>
      <c r="O161" s="702"/>
      <c r="P161" s="702"/>
      <c r="Q161" s="702"/>
      <c r="R161" s="702"/>
      <c r="S161" s="702"/>
      <c r="T161" s="702"/>
      <c r="U161" s="702"/>
      <c r="V161" s="702"/>
      <c r="W161" s="702"/>
      <c r="X161" s="702"/>
      <c r="Y161" s="702"/>
      <c r="Z161" s="702"/>
      <c r="AA161" s="702"/>
      <c r="AB161" s="702"/>
      <c r="AC161" s="702"/>
      <c r="AD161" s="702"/>
    </row>
    <row r="162" spans="2:30" ht="15.75">
      <c r="B162" s="705"/>
      <c r="C162" s="705"/>
      <c r="D162" s="705"/>
      <c r="E162" s="705"/>
      <c r="F162" s="705"/>
      <c r="G162" s="705"/>
      <c r="H162" s="705"/>
      <c r="I162" s="705"/>
      <c r="J162" s="705"/>
      <c r="K162" s="705"/>
      <c r="L162" s="702"/>
      <c r="M162" s="702"/>
      <c r="N162" s="702"/>
      <c r="O162" s="702"/>
      <c r="P162" s="702"/>
      <c r="Q162" s="702"/>
      <c r="R162" s="702"/>
      <c r="S162" s="702"/>
      <c r="T162" s="702"/>
      <c r="U162" s="702"/>
      <c r="V162" s="702"/>
      <c r="W162" s="702"/>
      <c r="X162" s="702"/>
      <c r="Y162" s="702"/>
      <c r="Z162" s="702"/>
      <c r="AA162" s="702"/>
      <c r="AB162" s="702"/>
      <c r="AC162" s="702"/>
      <c r="AD162" s="702"/>
    </row>
    <row r="163" spans="2:30" ht="15.75">
      <c r="B163" s="705"/>
      <c r="C163" s="705"/>
      <c r="D163" s="705"/>
      <c r="E163" s="705"/>
      <c r="F163" s="705"/>
      <c r="G163" s="705"/>
      <c r="H163" s="705"/>
      <c r="I163" s="705"/>
      <c r="J163" s="705"/>
      <c r="K163" s="705"/>
      <c r="L163" s="702"/>
      <c r="M163" s="702"/>
      <c r="N163" s="702"/>
      <c r="O163" s="702"/>
      <c r="P163" s="702"/>
      <c r="Q163" s="702"/>
      <c r="R163" s="702"/>
      <c r="S163" s="702"/>
      <c r="T163" s="702"/>
      <c r="U163" s="702"/>
      <c r="V163" s="702"/>
      <c r="W163" s="702"/>
      <c r="X163" s="702"/>
      <c r="Y163" s="702"/>
      <c r="Z163" s="702"/>
      <c r="AA163" s="702"/>
      <c r="AB163" s="702"/>
      <c r="AC163" s="702"/>
      <c r="AD163" s="702"/>
    </row>
    <row r="164" spans="2:30" ht="15.75">
      <c r="B164" s="705"/>
      <c r="C164" s="705"/>
      <c r="D164" s="705"/>
      <c r="E164" s="705"/>
      <c r="F164" s="705"/>
      <c r="G164" s="705"/>
      <c r="H164" s="705"/>
      <c r="I164" s="705"/>
      <c r="J164" s="705"/>
      <c r="K164" s="705"/>
      <c r="L164" s="702"/>
      <c r="M164" s="702"/>
      <c r="N164" s="702"/>
      <c r="O164" s="702"/>
      <c r="P164" s="702"/>
      <c r="Q164" s="702"/>
      <c r="R164" s="702"/>
      <c r="S164" s="702"/>
      <c r="T164" s="702"/>
      <c r="U164" s="702"/>
      <c r="V164" s="702"/>
      <c r="W164" s="702"/>
      <c r="X164" s="702"/>
      <c r="Y164" s="702"/>
      <c r="Z164" s="702"/>
      <c r="AA164" s="702"/>
      <c r="AB164" s="702"/>
      <c r="AC164" s="702"/>
      <c r="AD164" s="702"/>
    </row>
    <row r="165" spans="2:30" ht="15.75">
      <c r="B165" s="705"/>
      <c r="C165" s="705"/>
      <c r="D165" s="705"/>
      <c r="E165" s="705"/>
      <c r="F165" s="705"/>
      <c r="G165" s="705"/>
      <c r="H165" s="705"/>
      <c r="I165" s="705"/>
      <c r="J165" s="705"/>
      <c r="K165" s="705"/>
      <c r="L165" s="702"/>
      <c r="M165" s="702"/>
      <c r="N165" s="702"/>
      <c r="O165" s="702"/>
      <c r="P165" s="702"/>
      <c r="Q165" s="702"/>
      <c r="R165" s="702"/>
      <c r="S165" s="702"/>
      <c r="T165" s="702"/>
      <c r="U165" s="702"/>
      <c r="V165" s="702"/>
      <c r="W165" s="702"/>
      <c r="X165" s="702"/>
      <c r="Y165" s="702"/>
      <c r="Z165" s="702"/>
      <c r="AA165" s="702"/>
      <c r="AB165" s="702"/>
      <c r="AC165" s="702"/>
      <c r="AD165" s="702"/>
    </row>
    <row r="166" spans="2:30" ht="15.75">
      <c r="B166" s="705"/>
      <c r="C166" s="705"/>
      <c r="D166" s="705"/>
      <c r="E166" s="705"/>
      <c r="F166" s="705"/>
      <c r="G166" s="705"/>
      <c r="H166" s="705"/>
      <c r="I166" s="705"/>
      <c r="J166" s="705"/>
      <c r="K166" s="705"/>
      <c r="L166" s="702"/>
      <c r="M166" s="702"/>
      <c r="N166" s="702"/>
      <c r="O166" s="702"/>
      <c r="P166" s="702"/>
      <c r="Q166" s="702"/>
      <c r="R166" s="702"/>
      <c r="S166" s="702"/>
      <c r="T166" s="702"/>
      <c r="U166" s="702"/>
      <c r="V166" s="702"/>
      <c r="W166" s="702"/>
      <c r="X166" s="702"/>
      <c r="Y166" s="702"/>
      <c r="Z166" s="702"/>
      <c r="AA166" s="702"/>
      <c r="AB166" s="702"/>
      <c r="AC166" s="702"/>
      <c r="AD166" s="702"/>
    </row>
    <row r="167" spans="2:30" ht="15.75">
      <c r="B167" s="705"/>
      <c r="C167" s="705"/>
      <c r="D167" s="705"/>
      <c r="E167" s="705"/>
      <c r="F167" s="705"/>
      <c r="G167" s="705"/>
      <c r="H167" s="705"/>
      <c r="I167" s="705"/>
      <c r="J167" s="705"/>
      <c r="K167" s="705"/>
      <c r="L167" s="702"/>
      <c r="M167" s="702"/>
      <c r="N167" s="702"/>
      <c r="O167" s="702"/>
      <c r="P167" s="702"/>
      <c r="Q167" s="702"/>
      <c r="R167" s="702"/>
      <c r="S167" s="702"/>
      <c r="T167" s="702"/>
      <c r="U167" s="702"/>
      <c r="V167" s="702"/>
      <c r="W167" s="702"/>
      <c r="X167" s="702"/>
      <c r="Y167" s="702"/>
      <c r="Z167" s="702"/>
      <c r="AA167" s="702"/>
      <c r="AB167" s="702"/>
      <c r="AC167" s="702"/>
      <c r="AD167" s="702"/>
    </row>
    <row r="168" spans="2:30" ht="15.75">
      <c r="B168" s="705"/>
      <c r="C168" s="705"/>
      <c r="D168" s="705"/>
      <c r="E168" s="705"/>
      <c r="F168" s="705"/>
      <c r="G168" s="705"/>
      <c r="H168" s="705"/>
      <c r="I168" s="705"/>
      <c r="J168" s="705"/>
      <c r="K168" s="705"/>
      <c r="L168" s="702"/>
      <c r="M168" s="702"/>
      <c r="N168" s="702"/>
      <c r="O168" s="702"/>
      <c r="P168" s="702"/>
      <c r="Q168" s="702"/>
      <c r="R168" s="702"/>
      <c r="S168" s="702"/>
      <c r="T168" s="702"/>
      <c r="U168" s="702"/>
      <c r="V168" s="702"/>
      <c r="W168" s="702"/>
      <c r="X168" s="702"/>
      <c r="Y168" s="702"/>
      <c r="Z168" s="702"/>
      <c r="AA168" s="702"/>
      <c r="AB168" s="702"/>
      <c r="AC168" s="702"/>
      <c r="AD168" s="702"/>
    </row>
    <row r="169" spans="2:30" ht="15.75">
      <c r="B169" s="705"/>
      <c r="C169" s="705"/>
      <c r="D169" s="705"/>
      <c r="E169" s="705"/>
      <c r="F169" s="705"/>
      <c r="G169" s="705"/>
      <c r="H169" s="705"/>
      <c r="I169" s="705"/>
      <c r="J169" s="705"/>
      <c r="K169" s="705"/>
      <c r="L169" s="702"/>
      <c r="M169" s="702"/>
      <c r="N169" s="702"/>
      <c r="O169" s="702"/>
      <c r="P169" s="702"/>
      <c r="Q169" s="702"/>
      <c r="R169" s="702"/>
      <c r="S169" s="702"/>
      <c r="T169" s="702"/>
      <c r="U169" s="702"/>
      <c r="V169" s="702"/>
      <c r="W169" s="702"/>
      <c r="X169" s="702"/>
      <c r="Y169" s="702"/>
      <c r="Z169" s="702"/>
      <c r="AA169" s="702"/>
      <c r="AB169" s="702"/>
      <c r="AC169" s="702"/>
      <c r="AD169" s="702"/>
    </row>
    <row r="170" spans="2:30" ht="15.75">
      <c r="B170" s="705"/>
      <c r="C170" s="705"/>
      <c r="D170" s="705"/>
      <c r="E170" s="705"/>
      <c r="F170" s="705"/>
      <c r="G170" s="705"/>
      <c r="H170" s="705"/>
      <c r="I170" s="705"/>
      <c r="J170" s="705"/>
      <c r="K170" s="705"/>
      <c r="L170" s="702"/>
      <c r="M170" s="702"/>
      <c r="N170" s="702"/>
      <c r="O170" s="702"/>
      <c r="P170" s="702"/>
      <c r="Q170" s="702"/>
      <c r="R170" s="702"/>
      <c r="S170" s="702"/>
      <c r="T170" s="702"/>
      <c r="U170" s="702"/>
      <c r="V170" s="702"/>
      <c r="W170" s="702"/>
      <c r="X170" s="702"/>
      <c r="Y170" s="702"/>
      <c r="Z170" s="702"/>
      <c r="AA170" s="702"/>
      <c r="AB170" s="702"/>
      <c r="AC170" s="702"/>
      <c r="AD170" s="702"/>
    </row>
    <row r="171" spans="2:30" ht="15.75">
      <c r="B171" s="705"/>
      <c r="C171" s="705"/>
      <c r="D171" s="705"/>
      <c r="E171" s="705"/>
      <c r="F171" s="705"/>
      <c r="G171" s="705"/>
      <c r="H171" s="705"/>
      <c r="I171" s="705"/>
      <c r="J171" s="705"/>
      <c r="K171" s="705"/>
      <c r="L171" s="702"/>
      <c r="M171" s="702"/>
      <c r="N171" s="702"/>
      <c r="O171" s="702"/>
      <c r="P171" s="702"/>
      <c r="Q171" s="702"/>
      <c r="R171" s="702"/>
      <c r="S171" s="702"/>
      <c r="T171" s="702"/>
      <c r="U171" s="702"/>
      <c r="V171" s="702"/>
      <c r="W171" s="702"/>
      <c r="X171" s="702"/>
      <c r="Y171" s="702"/>
      <c r="Z171" s="702"/>
      <c r="AA171" s="702"/>
      <c r="AB171" s="702"/>
      <c r="AC171" s="702"/>
      <c r="AD171" s="702"/>
    </row>
    <row r="172" spans="2:30" ht="15.75">
      <c r="B172" s="705"/>
      <c r="C172" s="705"/>
      <c r="D172" s="705"/>
      <c r="E172" s="705"/>
      <c r="F172" s="705"/>
      <c r="G172" s="705"/>
      <c r="H172" s="705"/>
      <c r="I172" s="705"/>
      <c r="J172" s="705"/>
      <c r="K172" s="705"/>
      <c r="L172" s="702"/>
      <c r="M172" s="702"/>
      <c r="N172" s="702"/>
      <c r="O172" s="702"/>
      <c r="P172" s="702"/>
      <c r="Q172" s="702"/>
      <c r="R172" s="702"/>
      <c r="S172" s="702"/>
      <c r="T172" s="702"/>
      <c r="U172" s="702"/>
      <c r="V172" s="702"/>
      <c r="W172" s="702"/>
      <c r="X172" s="702"/>
      <c r="Y172" s="702"/>
      <c r="Z172" s="702"/>
      <c r="AA172" s="702"/>
      <c r="AB172" s="702"/>
      <c r="AC172" s="702"/>
      <c r="AD172" s="702"/>
    </row>
    <row r="173" spans="2:30" ht="15.75">
      <c r="B173" s="705"/>
      <c r="C173" s="705"/>
      <c r="D173" s="705"/>
      <c r="E173" s="705"/>
      <c r="F173" s="705"/>
      <c r="G173" s="705"/>
      <c r="H173" s="705"/>
      <c r="I173" s="705"/>
      <c r="J173" s="705"/>
      <c r="K173" s="705"/>
      <c r="L173" s="702"/>
      <c r="M173" s="702"/>
      <c r="N173" s="702"/>
      <c r="O173" s="702"/>
      <c r="P173" s="702"/>
      <c r="Q173" s="702"/>
      <c r="R173" s="702"/>
      <c r="S173" s="702"/>
      <c r="T173" s="702"/>
      <c r="U173" s="702"/>
      <c r="V173" s="702"/>
      <c r="W173" s="702"/>
      <c r="X173" s="702"/>
      <c r="Y173" s="702"/>
      <c r="Z173" s="702"/>
      <c r="AA173" s="702"/>
      <c r="AB173" s="702"/>
      <c r="AC173" s="702"/>
      <c r="AD173" s="702"/>
    </row>
    <row r="174" spans="2:30" ht="15.75">
      <c r="B174" s="705"/>
      <c r="C174" s="705"/>
      <c r="D174" s="705"/>
      <c r="E174" s="705"/>
      <c r="F174" s="705"/>
      <c r="G174" s="705"/>
      <c r="H174" s="705"/>
      <c r="I174" s="705"/>
      <c r="J174" s="705"/>
      <c r="K174" s="705"/>
      <c r="L174" s="702"/>
      <c r="M174" s="702"/>
      <c r="N174" s="702"/>
      <c r="O174" s="702"/>
      <c r="P174" s="702"/>
      <c r="Q174" s="702"/>
      <c r="R174" s="702"/>
      <c r="S174" s="702"/>
      <c r="T174" s="702"/>
      <c r="U174" s="702"/>
      <c r="V174" s="702"/>
      <c r="W174" s="702"/>
      <c r="X174" s="702"/>
      <c r="Y174" s="702"/>
      <c r="Z174" s="702"/>
      <c r="AA174" s="702"/>
      <c r="AB174" s="702"/>
      <c r="AC174" s="702"/>
      <c r="AD174" s="702"/>
    </row>
    <row r="175" spans="2:30" ht="15.75">
      <c r="B175" s="705"/>
      <c r="C175" s="705"/>
      <c r="D175" s="705"/>
      <c r="E175" s="705"/>
      <c r="F175" s="705"/>
      <c r="G175" s="705"/>
      <c r="H175" s="705"/>
      <c r="I175" s="705"/>
      <c r="J175" s="705"/>
      <c r="K175" s="705"/>
      <c r="L175" s="702"/>
      <c r="M175" s="702"/>
      <c r="N175" s="702"/>
      <c r="O175" s="702"/>
      <c r="P175" s="702"/>
      <c r="Q175" s="702"/>
      <c r="R175" s="702"/>
      <c r="S175" s="702"/>
      <c r="T175" s="702"/>
      <c r="U175" s="702"/>
      <c r="V175" s="702"/>
      <c r="W175" s="702"/>
      <c r="X175" s="702"/>
      <c r="Y175" s="702"/>
      <c r="Z175" s="702"/>
      <c r="AA175" s="702"/>
      <c r="AB175" s="702"/>
      <c r="AC175" s="702"/>
      <c r="AD175" s="702"/>
    </row>
    <row r="176" spans="2:30" ht="15.75">
      <c r="B176" s="705"/>
      <c r="C176" s="705"/>
      <c r="D176" s="705"/>
      <c r="E176" s="705"/>
      <c r="F176" s="705"/>
      <c r="G176" s="705"/>
      <c r="H176" s="705"/>
      <c r="I176" s="705"/>
      <c r="J176" s="705"/>
      <c r="K176" s="705"/>
      <c r="L176" s="702"/>
      <c r="M176" s="702"/>
      <c r="N176" s="702"/>
      <c r="O176" s="702"/>
      <c r="P176" s="702"/>
      <c r="Q176" s="702"/>
      <c r="R176" s="702"/>
      <c r="S176" s="702"/>
      <c r="T176" s="702"/>
      <c r="U176" s="702"/>
      <c r="V176" s="702"/>
      <c r="W176" s="702"/>
      <c r="X176" s="702"/>
      <c r="Y176" s="702"/>
      <c r="Z176" s="702"/>
      <c r="AA176" s="702"/>
      <c r="AB176" s="702"/>
      <c r="AC176" s="702"/>
      <c r="AD176" s="702"/>
    </row>
    <row r="177" spans="2:30" ht="15.75">
      <c r="B177" s="705"/>
      <c r="C177" s="705"/>
      <c r="D177" s="705"/>
      <c r="E177" s="705"/>
      <c r="F177" s="705"/>
      <c r="G177" s="705"/>
      <c r="H177" s="705"/>
      <c r="I177" s="705"/>
      <c r="J177" s="705"/>
      <c r="K177" s="705"/>
      <c r="L177" s="702"/>
      <c r="M177" s="702"/>
      <c r="N177" s="702"/>
      <c r="O177" s="702"/>
      <c r="P177" s="702"/>
      <c r="Q177" s="702"/>
      <c r="R177" s="702"/>
      <c r="S177" s="702"/>
      <c r="T177" s="702"/>
      <c r="U177" s="702"/>
      <c r="V177" s="702"/>
      <c r="W177" s="702"/>
      <c r="X177" s="702"/>
      <c r="Y177" s="702"/>
      <c r="Z177" s="702"/>
      <c r="AA177" s="702"/>
      <c r="AB177" s="702"/>
      <c r="AC177" s="702"/>
      <c r="AD177" s="702"/>
    </row>
    <row r="178" spans="2:30" ht="15.75">
      <c r="B178" s="705"/>
      <c r="C178" s="705"/>
      <c r="D178" s="705"/>
      <c r="E178" s="705"/>
      <c r="F178" s="705"/>
      <c r="G178" s="705"/>
      <c r="H178" s="705"/>
      <c r="I178" s="705"/>
      <c r="J178" s="705"/>
      <c r="K178" s="705"/>
      <c r="L178" s="702"/>
      <c r="M178" s="702"/>
      <c r="N178" s="702"/>
      <c r="O178" s="702"/>
      <c r="P178" s="702"/>
      <c r="Q178" s="702"/>
      <c r="R178" s="702"/>
      <c r="S178" s="702"/>
      <c r="T178" s="702"/>
      <c r="U178" s="702"/>
      <c r="V178" s="702"/>
      <c r="W178" s="702"/>
      <c r="X178" s="702"/>
      <c r="Y178" s="702"/>
      <c r="Z178" s="702"/>
      <c r="AA178" s="702"/>
      <c r="AB178" s="702"/>
      <c r="AC178" s="702"/>
      <c r="AD178" s="702"/>
    </row>
    <row r="179" spans="2:30" ht="15.75">
      <c r="B179" s="705"/>
      <c r="C179" s="705"/>
      <c r="D179" s="705"/>
      <c r="E179" s="705"/>
      <c r="F179" s="705"/>
      <c r="G179" s="705"/>
      <c r="H179" s="705"/>
      <c r="I179" s="705"/>
      <c r="J179" s="705"/>
      <c r="K179" s="705"/>
      <c r="L179" s="702"/>
      <c r="M179" s="702"/>
      <c r="N179" s="702"/>
      <c r="O179" s="702"/>
      <c r="P179" s="702"/>
      <c r="Q179" s="702"/>
      <c r="R179" s="702"/>
      <c r="S179" s="702"/>
      <c r="T179" s="702"/>
      <c r="U179" s="702"/>
      <c r="V179" s="702"/>
      <c r="W179" s="702"/>
      <c r="X179" s="702"/>
      <c r="Y179" s="702"/>
      <c r="Z179" s="702"/>
      <c r="AA179" s="702"/>
      <c r="AB179" s="702"/>
      <c r="AC179" s="702"/>
      <c r="AD179" s="702"/>
    </row>
    <row r="180" spans="2:30" ht="15.75">
      <c r="B180" s="705"/>
      <c r="C180" s="705"/>
      <c r="D180" s="705"/>
      <c r="E180" s="705"/>
      <c r="F180" s="705"/>
      <c r="G180" s="705"/>
      <c r="H180" s="705"/>
      <c r="I180" s="705"/>
      <c r="J180" s="705"/>
      <c r="K180" s="705"/>
      <c r="L180" s="702"/>
      <c r="M180" s="702"/>
      <c r="N180" s="702"/>
      <c r="O180" s="702"/>
      <c r="P180" s="702"/>
      <c r="Q180" s="702"/>
      <c r="R180" s="702"/>
      <c r="S180" s="702"/>
      <c r="T180" s="702"/>
      <c r="U180" s="702"/>
      <c r="V180" s="702"/>
      <c r="W180" s="702"/>
      <c r="X180" s="702"/>
      <c r="Y180" s="702"/>
      <c r="Z180" s="702"/>
      <c r="AA180" s="702"/>
      <c r="AB180" s="702"/>
      <c r="AC180" s="702"/>
      <c r="AD180" s="702"/>
    </row>
    <row r="181" spans="2:30" ht="15.75">
      <c r="B181" s="705"/>
      <c r="C181" s="705"/>
      <c r="D181" s="705"/>
      <c r="E181" s="705"/>
      <c r="F181" s="705"/>
      <c r="G181" s="705"/>
      <c r="H181" s="705"/>
      <c r="I181" s="705"/>
      <c r="J181" s="705"/>
      <c r="K181" s="705"/>
      <c r="L181" s="702"/>
      <c r="M181" s="702"/>
      <c r="N181" s="702"/>
      <c r="O181" s="702"/>
      <c r="P181" s="702"/>
      <c r="Q181" s="702"/>
      <c r="R181" s="702"/>
      <c r="S181" s="702"/>
      <c r="T181" s="702"/>
      <c r="U181" s="702"/>
      <c r="V181" s="702"/>
      <c r="W181" s="702"/>
      <c r="X181" s="702"/>
      <c r="Y181" s="702"/>
      <c r="Z181" s="702"/>
      <c r="AA181" s="702"/>
      <c r="AB181" s="702"/>
      <c r="AC181" s="702"/>
      <c r="AD181" s="702"/>
    </row>
    <row r="182" spans="2:30" ht="15.75">
      <c r="B182" s="705"/>
      <c r="C182" s="705"/>
      <c r="D182" s="705"/>
      <c r="E182" s="705"/>
      <c r="F182" s="705"/>
      <c r="G182" s="705"/>
      <c r="H182" s="705"/>
      <c r="I182" s="705"/>
      <c r="J182" s="705"/>
      <c r="K182" s="705"/>
      <c r="L182" s="702"/>
      <c r="M182" s="702"/>
      <c r="N182" s="702"/>
      <c r="O182" s="702"/>
      <c r="P182" s="702"/>
      <c r="Q182" s="702"/>
      <c r="R182" s="702"/>
      <c r="S182" s="702"/>
      <c r="T182" s="702"/>
      <c r="U182" s="702"/>
      <c r="V182" s="702"/>
      <c r="W182" s="702"/>
      <c r="X182" s="702"/>
      <c r="Y182" s="702"/>
      <c r="Z182" s="702"/>
      <c r="AA182" s="702"/>
      <c r="AB182" s="702"/>
      <c r="AC182" s="702"/>
      <c r="AD182" s="702"/>
    </row>
    <row r="183" spans="2:30" ht="15.75">
      <c r="B183" s="705"/>
      <c r="C183" s="705"/>
      <c r="D183" s="705"/>
      <c r="E183" s="705"/>
      <c r="F183" s="705"/>
      <c r="G183" s="705"/>
      <c r="H183" s="705"/>
      <c r="I183" s="705"/>
      <c r="J183" s="705"/>
      <c r="K183" s="705"/>
      <c r="L183" s="702"/>
      <c r="M183" s="702"/>
      <c r="N183" s="702"/>
      <c r="O183" s="702"/>
      <c r="P183" s="702"/>
      <c r="Q183" s="702"/>
      <c r="R183" s="702"/>
      <c r="S183" s="702"/>
      <c r="T183" s="702"/>
      <c r="U183" s="702"/>
      <c r="V183" s="702"/>
      <c r="W183" s="702"/>
      <c r="X183" s="702"/>
      <c r="Y183" s="702"/>
      <c r="Z183" s="702"/>
      <c r="AA183" s="702"/>
      <c r="AB183" s="702"/>
      <c r="AC183" s="702"/>
      <c r="AD183" s="702"/>
    </row>
    <row r="184" spans="2:30" ht="15.75">
      <c r="B184" s="705"/>
      <c r="C184" s="705"/>
      <c r="D184" s="705"/>
      <c r="E184" s="705"/>
      <c r="F184" s="705"/>
      <c r="G184" s="705"/>
      <c r="H184" s="705"/>
      <c r="I184" s="705"/>
      <c r="J184" s="705"/>
      <c r="K184" s="705"/>
      <c r="L184" s="702"/>
      <c r="M184" s="702"/>
      <c r="N184" s="702"/>
      <c r="O184" s="702"/>
      <c r="P184" s="702"/>
      <c r="Q184" s="702"/>
      <c r="R184" s="702"/>
      <c r="S184" s="702"/>
      <c r="T184" s="702"/>
      <c r="U184" s="702"/>
      <c r="V184" s="702"/>
      <c r="W184" s="702"/>
      <c r="X184" s="702"/>
      <c r="Y184" s="702"/>
      <c r="Z184" s="702"/>
      <c r="AA184" s="702"/>
      <c r="AB184" s="702"/>
      <c r="AC184" s="702"/>
      <c r="AD184" s="702"/>
    </row>
    <row r="185" spans="2:30" ht="15.75">
      <c r="B185" s="705"/>
      <c r="C185" s="705"/>
      <c r="D185" s="705"/>
      <c r="E185" s="705"/>
      <c r="F185" s="705"/>
      <c r="G185" s="705"/>
      <c r="H185" s="705"/>
      <c r="I185" s="705"/>
      <c r="J185" s="705"/>
      <c r="K185" s="705"/>
      <c r="L185" s="702"/>
      <c r="M185" s="702"/>
      <c r="N185" s="702"/>
      <c r="O185" s="702"/>
      <c r="P185" s="702"/>
      <c r="Q185" s="702"/>
      <c r="R185" s="702"/>
      <c r="S185" s="702"/>
      <c r="T185" s="702"/>
      <c r="U185" s="702"/>
      <c r="V185" s="702"/>
      <c r="W185" s="702"/>
      <c r="X185" s="702"/>
      <c r="Y185" s="702"/>
      <c r="Z185" s="702"/>
      <c r="AA185" s="702"/>
      <c r="AB185" s="702"/>
      <c r="AC185" s="702"/>
      <c r="AD185" s="702"/>
    </row>
    <row r="186" spans="2:30" ht="15.75">
      <c r="B186" s="705"/>
      <c r="C186" s="705"/>
      <c r="D186" s="705"/>
      <c r="E186" s="705"/>
      <c r="F186" s="705"/>
      <c r="G186" s="705"/>
      <c r="H186" s="705"/>
      <c r="I186" s="705"/>
      <c r="J186" s="705"/>
      <c r="K186" s="705"/>
      <c r="L186" s="702"/>
      <c r="M186" s="702"/>
      <c r="N186" s="702"/>
      <c r="O186" s="702"/>
      <c r="P186" s="702"/>
      <c r="Q186" s="702"/>
      <c r="R186" s="702"/>
      <c r="S186" s="702"/>
      <c r="T186" s="702"/>
      <c r="U186" s="702"/>
      <c r="V186" s="702"/>
      <c r="W186" s="702"/>
      <c r="X186" s="702"/>
      <c r="Y186" s="702"/>
      <c r="Z186" s="702"/>
      <c r="AA186" s="702"/>
      <c r="AB186" s="702"/>
      <c r="AC186" s="702"/>
      <c r="AD186" s="702"/>
    </row>
    <row r="187" spans="2:30" ht="15.75">
      <c r="B187" s="705"/>
      <c r="C187" s="705"/>
      <c r="D187" s="705"/>
      <c r="E187" s="705"/>
      <c r="F187" s="705"/>
      <c r="G187" s="705"/>
      <c r="H187" s="705"/>
      <c r="I187" s="705"/>
      <c r="J187" s="705"/>
      <c r="K187" s="705"/>
      <c r="L187" s="702"/>
      <c r="M187" s="702"/>
      <c r="N187" s="702"/>
      <c r="O187" s="702"/>
      <c r="P187" s="702"/>
      <c r="Q187" s="702"/>
      <c r="R187" s="702"/>
      <c r="S187" s="702"/>
      <c r="T187" s="702"/>
      <c r="U187" s="702"/>
      <c r="V187" s="702"/>
      <c r="W187" s="702"/>
      <c r="X187" s="702"/>
      <c r="Y187" s="702"/>
      <c r="Z187" s="702"/>
      <c r="AA187" s="702"/>
      <c r="AB187" s="702"/>
      <c r="AC187" s="702"/>
      <c r="AD187" s="702"/>
    </row>
    <row r="188" spans="2:30" ht="15.75">
      <c r="B188" s="705"/>
      <c r="C188" s="705"/>
      <c r="D188" s="705"/>
      <c r="E188" s="705"/>
      <c r="F188" s="705"/>
      <c r="G188" s="705"/>
      <c r="H188" s="705"/>
      <c r="I188" s="705"/>
      <c r="J188" s="705"/>
      <c r="K188" s="705"/>
      <c r="L188" s="702"/>
      <c r="M188" s="702"/>
      <c r="N188" s="702"/>
      <c r="O188" s="702"/>
      <c r="P188" s="702"/>
      <c r="Q188" s="702"/>
      <c r="R188" s="702"/>
      <c r="S188" s="702"/>
      <c r="T188" s="702"/>
      <c r="U188" s="702"/>
      <c r="V188" s="702"/>
      <c r="W188" s="702"/>
      <c r="X188" s="702"/>
      <c r="Y188" s="702"/>
      <c r="Z188" s="702"/>
      <c r="AA188" s="702"/>
      <c r="AB188" s="702"/>
      <c r="AC188" s="702"/>
      <c r="AD188" s="702"/>
    </row>
    <row r="189" spans="2:30" ht="15.75">
      <c r="B189" s="705"/>
      <c r="C189" s="705"/>
      <c r="D189" s="705"/>
      <c r="E189" s="705"/>
      <c r="F189" s="705"/>
      <c r="G189" s="705"/>
      <c r="H189" s="705"/>
      <c r="I189" s="705"/>
      <c r="J189" s="705"/>
      <c r="K189" s="705"/>
      <c r="L189" s="702"/>
      <c r="M189" s="702"/>
      <c r="N189" s="702"/>
      <c r="O189" s="702"/>
      <c r="P189" s="702"/>
      <c r="Q189" s="702"/>
      <c r="R189" s="702"/>
      <c r="S189" s="702"/>
      <c r="T189" s="702"/>
      <c r="U189" s="702"/>
      <c r="V189" s="702"/>
      <c r="W189" s="702"/>
      <c r="X189" s="702"/>
      <c r="Y189" s="702"/>
      <c r="Z189" s="702"/>
      <c r="AA189" s="702"/>
      <c r="AB189" s="702"/>
      <c r="AC189" s="702"/>
      <c r="AD189" s="702"/>
    </row>
    <row r="190" spans="2:30" ht="15.75">
      <c r="B190" s="705"/>
      <c r="C190" s="705"/>
      <c r="D190" s="705"/>
      <c r="E190" s="705"/>
      <c r="F190" s="705"/>
      <c r="G190" s="705"/>
      <c r="H190" s="705"/>
      <c r="I190" s="705"/>
      <c r="J190" s="705"/>
      <c r="K190" s="705"/>
      <c r="L190" s="702"/>
      <c r="M190" s="702"/>
      <c r="N190" s="702"/>
      <c r="O190" s="702"/>
      <c r="P190" s="702"/>
      <c r="Q190" s="702"/>
      <c r="R190" s="702"/>
      <c r="S190" s="702"/>
      <c r="T190" s="702"/>
      <c r="U190" s="702"/>
      <c r="V190" s="702"/>
      <c r="W190" s="702"/>
      <c r="X190" s="702"/>
      <c r="Y190" s="702"/>
      <c r="Z190" s="702"/>
      <c r="AA190" s="702"/>
      <c r="AB190" s="702"/>
      <c r="AC190" s="702"/>
      <c r="AD190" s="702"/>
    </row>
    <row r="191" spans="2:30" ht="15.75">
      <c r="B191" s="705"/>
      <c r="C191" s="705"/>
      <c r="D191" s="705"/>
      <c r="E191" s="705"/>
      <c r="F191" s="705"/>
      <c r="G191" s="705"/>
      <c r="H191" s="705"/>
      <c r="I191" s="705"/>
      <c r="J191" s="705"/>
      <c r="K191" s="705"/>
      <c r="L191" s="702"/>
      <c r="M191" s="702"/>
      <c r="N191" s="702"/>
      <c r="O191" s="702"/>
      <c r="P191" s="702"/>
      <c r="Q191" s="702"/>
      <c r="R191" s="702"/>
      <c r="S191" s="702"/>
      <c r="T191" s="702"/>
      <c r="U191" s="702"/>
      <c r="V191" s="702"/>
      <c r="W191" s="702"/>
      <c r="X191" s="702"/>
      <c r="Y191" s="702"/>
      <c r="Z191" s="702"/>
      <c r="AA191" s="702"/>
      <c r="AB191" s="702"/>
      <c r="AC191" s="702"/>
      <c r="AD191" s="702"/>
    </row>
    <row r="192" spans="2:30" ht="15.75">
      <c r="B192" s="705"/>
      <c r="C192" s="705"/>
      <c r="D192" s="705"/>
      <c r="E192" s="705"/>
      <c r="F192" s="705"/>
      <c r="G192" s="705"/>
      <c r="H192" s="705"/>
      <c r="I192" s="705"/>
      <c r="J192" s="705"/>
      <c r="K192" s="705"/>
      <c r="L192" s="702"/>
      <c r="M192" s="702"/>
      <c r="N192" s="702"/>
      <c r="O192" s="702"/>
      <c r="P192" s="702"/>
      <c r="Q192" s="702"/>
      <c r="R192" s="702"/>
      <c r="S192" s="702"/>
      <c r="T192" s="702"/>
      <c r="U192" s="702"/>
      <c r="V192" s="702"/>
      <c r="W192" s="702"/>
      <c r="X192" s="702"/>
      <c r="Y192" s="702"/>
      <c r="Z192" s="702"/>
      <c r="AA192" s="702"/>
      <c r="AB192" s="702"/>
      <c r="AC192" s="702"/>
      <c r="AD192" s="702"/>
    </row>
    <row r="193" spans="2:30" ht="15.75">
      <c r="B193" s="705"/>
      <c r="C193" s="705"/>
      <c r="D193" s="705"/>
      <c r="E193" s="705"/>
      <c r="F193" s="705"/>
      <c r="G193" s="705"/>
      <c r="H193" s="705"/>
      <c r="I193" s="705"/>
      <c r="J193" s="705"/>
      <c r="K193" s="705"/>
      <c r="L193" s="702"/>
      <c r="M193" s="702"/>
      <c r="N193" s="702"/>
      <c r="O193" s="702"/>
      <c r="P193" s="702"/>
      <c r="Q193" s="702"/>
      <c r="R193" s="702"/>
      <c r="S193" s="702"/>
      <c r="T193" s="702"/>
      <c r="U193" s="702"/>
      <c r="V193" s="702"/>
      <c r="W193" s="702"/>
      <c r="X193" s="702"/>
      <c r="Y193" s="702"/>
      <c r="Z193" s="702"/>
      <c r="AA193" s="702"/>
      <c r="AB193" s="702"/>
      <c r="AC193" s="702"/>
      <c r="AD193" s="702"/>
    </row>
    <row r="194" spans="2:30" ht="15.75">
      <c r="B194" s="705"/>
      <c r="C194" s="705"/>
      <c r="D194" s="705"/>
      <c r="E194" s="705"/>
      <c r="F194" s="705"/>
      <c r="G194" s="705"/>
      <c r="H194" s="705"/>
      <c r="I194" s="705"/>
      <c r="J194" s="705"/>
      <c r="K194" s="705"/>
      <c r="L194" s="702"/>
      <c r="M194" s="702"/>
      <c r="N194" s="702"/>
      <c r="O194" s="702"/>
      <c r="P194" s="702"/>
      <c r="Q194" s="702"/>
      <c r="R194" s="702"/>
      <c r="S194" s="702"/>
      <c r="T194" s="702"/>
      <c r="U194" s="702"/>
      <c r="V194" s="702"/>
      <c r="W194" s="702"/>
      <c r="X194" s="702"/>
      <c r="Y194" s="702"/>
      <c r="Z194" s="702"/>
      <c r="AA194" s="702"/>
      <c r="AB194" s="702"/>
      <c r="AC194" s="702"/>
      <c r="AD194" s="702"/>
    </row>
    <row r="195" spans="2:30" ht="15.75">
      <c r="B195" s="705"/>
      <c r="C195" s="705"/>
      <c r="D195" s="705"/>
      <c r="E195" s="705"/>
      <c r="F195" s="705"/>
      <c r="G195" s="705"/>
      <c r="H195" s="705"/>
      <c r="I195" s="705"/>
      <c r="J195" s="705"/>
      <c r="K195" s="705"/>
      <c r="L195" s="702"/>
      <c r="M195" s="702"/>
      <c r="N195" s="702"/>
      <c r="O195" s="702"/>
      <c r="P195" s="702"/>
      <c r="Q195" s="702"/>
      <c r="R195" s="702"/>
      <c r="S195" s="702"/>
      <c r="T195" s="702"/>
      <c r="U195" s="702"/>
      <c r="V195" s="702"/>
      <c r="W195" s="702"/>
      <c r="X195" s="702"/>
      <c r="Y195" s="702"/>
      <c r="Z195" s="702"/>
      <c r="AA195" s="702"/>
      <c r="AB195" s="702"/>
      <c r="AC195" s="702"/>
      <c r="AD195" s="702"/>
    </row>
    <row r="196" spans="2:30" ht="15.75">
      <c r="B196" s="705"/>
      <c r="C196" s="705"/>
      <c r="D196" s="705"/>
      <c r="E196" s="705"/>
      <c r="F196" s="705"/>
      <c r="G196" s="705"/>
      <c r="H196" s="705"/>
      <c r="I196" s="705"/>
      <c r="J196" s="705"/>
      <c r="K196" s="705"/>
      <c r="L196" s="702"/>
      <c r="M196" s="702"/>
      <c r="N196" s="702"/>
      <c r="O196" s="702"/>
      <c r="P196" s="702"/>
      <c r="Q196" s="702"/>
      <c r="R196" s="702"/>
      <c r="S196" s="702"/>
      <c r="T196" s="702"/>
      <c r="U196" s="702"/>
      <c r="V196" s="702"/>
      <c r="W196" s="702"/>
      <c r="X196" s="702"/>
      <c r="Y196" s="702"/>
      <c r="Z196" s="702"/>
      <c r="AA196" s="702"/>
      <c r="AB196" s="702"/>
      <c r="AC196" s="702"/>
      <c r="AD196" s="702"/>
    </row>
    <row r="197" spans="2:30" ht="15.75">
      <c r="B197" s="705"/>
      <c r="C197" s="705"/>
      <c r="D197" s="705"/>
      <c r="E197" s="705"/>
      <c r="F197" s="705"/>
      <c r="G197" s="705"/>
      <c r="H197" s="705"/>
      <c r="I197" s="705"/>
      <c r="J197" s="705"/>
      <c r="K197" s="705"/>
      <c r="L197" s="702"/>
      <c r="M197" s="702"/>
      <c r="N197" s="702"/>
      <c r="O197" s="702"/>
      <c r="P197" s="702"/>
      <c r="Q197" s="702"/>
      <c r="R197" s="702"/>
      <c r="S197" s="702"/>
      <c r="T197" s="702"/>
      <c r="U197" s="702"/>
      <c r="V197" s="702"/>
      <c r="W197" s="702"/>
      <c r="X197" s="702"/>
      <c r="Y197" s="702"/>
      <c r="Z197" s="702"/>
      <c r="AA197" s="702"/>
      <c r="AB197" s="702"/>
      <c r="AC197" s="702"/>
      <c r="AD197" s="702"/>
    </row>
    <row r="198" spans="2:30" ht="15.75">
      <c r="B198" s="705"/>
      <c r="C198" s="705"/>
      <c r="D198" s="705"/>
      <c r="E198" s="705"/>
      <c r="F198" s="705"/>
      <c r="G198" s="705"/>
      <c r="H198" s="705"/>
      <c r="I198" s="705"/>
      <c r="J198" s="705"/>
      <c r="K198" s="705"/>
      <c r="L198" s="702"/>
      <c r="M198" s="702"/>
      <c r="N198" s="702"/>
      <c r="O198" s="702"/>
      <c r="P198" s="702"/>
      <c r="Q198" s="702"/>
      <c r="R198" s="702"/>
      <c r="S198" s="702"/>
      <c r="T198" s="702"/>
      <c r="U198" s="702"/>
      <c r="V198" s="702"/>
      <c r="W198" s="702"/>
      <c r="X198" s="702"/>
      <c r="Y198" s="702"/>
      <c r="Z198" s="702"/>
      <c r="AA198" s="702"/>
      <c r="AB198" s="702"/>
      <c r="AC198" s="702"/>
      <c r="AD198" s="702"/>
    </row>
    <row r="199" spans="2:30" ht="15.75">
      <c r="B199" s="705"/>
      <c r="C199" s="705"/>
      <c r="D199" s="705"/>
      <c r="E199" s="705"/>
      <c r="F199" s="705"/>
      <c r="G199" s="705"/>
      <c r="H199" s="705"/>
      <c r="I199" s="705"/>
      <c r="J199" s="705"/>
      <c r="K199" s="705"/>
      <c r="L199" s="702"/>
      <c r="M199" s="702"/>
      <c r="N199" s="702"/>
      <c r="O199" s="702"/>
      <c r="P199" s="702"/>
      <c r="Q199" s="702"/>
      <c r="R199" s="702"/>
      <c r="S199" s="702"/>
      <c r="T199" s="702"/>
      <c r="U199" s="702"/>
      <c r="V199" s="702"/>
      <c r="W199" s="702"/>
      <c r="X199" s="702"/>
      <c r="Y199" s="702"/>
      <c r="Z199" s="702"/>
      <c r="AA199" s="702"/>
      <c r="AB199" s="702"/>
      <c r="AC199" s="702"/>
      <c r="AD199" s="702"/>
    </row>
    <row r="200" spans="2:30" ht="15.75">
      <c r="B200" s="705"/>
      <c r="C200" s="705"/>
      <c r="D200" s="705"/>
      <c r="E200" s="705"/>
      <c r="F200" s="705"/>
      <c r="G200" s="705"/>
      <c r="H200" s="705"/>
      <c r="I200" s="705"/>
      <c r="J200" s="705"/>
      <c r="K200" s="705"/>
      <c r="L200" s="702"/>
      <c r="M200" s="702"/>
      <c r="N200" s="702"/>
      <c r="O200" s="702"/>
      <c r="P200" s="702"/>
      <c r="Q200" s="702"/>
      <c r="R200" s="702"/>
      <c r="S200" s="702"/>
      <c r="T200" s="702"/>
      <c r="U200" s="702"/>
      <c r="V200" s="702"/>
      <c r="W200" s="702"/>
      <c r="X200" s="702"/>
      <c r="Y200" s="702"/>
      <c r="Z200" s="702"/>
      <c r="AA200" s="702"/>
      <c r="AB200" s="702"/>
      <c r="AC200" s="702"/>
      <c r="AD200" s="702"/>
    </row>
    <row r="201" spans="2:30" ht="15.75">
      <c r="B201" s="705"/>
      <c r="C201" s="705"/>
      <c r="D201" s="705"/>
      <c r="E201" s="705"/>
      <c r="F201" s="705"/>
      <c r="G201" s="705"/>
      <c r="H201" s="705"/>
      <c r="I201" s="705"/>
      <c r="J201" s="705"/>
      <c r="K201" s="705"/>
      <c r="L201" s="702"/>
      <c r="M201" s="702"/>
      <c r="N201" s="702"/>
      <c r="O201" s="702"/>
      <c r="P201" s="702"/>
      <c r="Q201" s="702"/>
      <c r="R201" s="702"/>
      <c r="S201" s="702"/>
      <c r="T201" s="702"/>
      <c r="U201" s="702"/>
      <c r="V201" s="702"/>
      <c r="W201" s="702"/>
      <c r="X201" s="702"/>
      <c r="Y201" s="702"/>
      <c r="Z201" s="702"/>
      <c r="AA201" s="702"/>
      <c r="AB201" s="702"/>
      <c r="AC201" s="702"/>
      <c r="AD201" s="702"/>
    </row>
    <row r="202" spans="2:30" ht="15.75">
      <c r="B202" s="705"/>
      <c r="C202" s="705"/>
      <c r="D202" s="705"/>
      <c r="E202" s="705"/>
      <c r="F202" s="705"/>
      <c r="G202" s="705"/>
      <c r="H202" s="705"/>
      <c r="I202" s="705"/>
      <c r="J202" s="705"/>
      <c r="K202" s="705"/>
      <c r="L202" s="702"/>
      <c r="M202" s="702"/>
      <c r="N202" s="702"/>
      <c r="O202" s="702"/>
      <c r="P202" s="702"/>
      <c r="Q202" s="702"/>
      <c r="R202" s="702"/>
      <c r="S202" s="702"/>
      <c r="T202" s="702"/>
      <c r="U202" s="702"/>
      <c r="V202" s="702"/>
      <c r="W202" s="702"/>
      <c r="X202" s="702"/>
      <c r="Y202" s="702"/>
      <c r="Z202" s="702"/>
      <c r="AA202" s="702"/>
      <c r="AB202" s="702"/>
      <c r="AC202" s="702"/>
      <c r="AD202" s="702"/>
    </row>
    <row r="203" spans="2:30" ht="15.75">
      <c r="B203" s="705"/>
      <c r="C203" s="705"/>
      <c r="D203" s="705"/>
      <c r="E203" s="705"/>
      <c r="F203" s="705"/>
      <c r="G203" s="705"/>
      <c r="H203" s="705"/>
      <c r="I203" s="705"/>
      <c r="J203" s="705"/>
      <c r="K203" s="705"/>
      <c r="L203" s="702"/>
      <c r="M203" s="702"/>
      <c r="N203" s="702"/>
      <c r="O203" s="702"/>
      <c r="P203" s="702"/>
      <c r="Q203" s="702"/>
      <c r="R203" s="702"/>
      <c r="S203" s="702"/>
      <c r="T203" s="702"/>
      <c r="U203" s="702"/>
      <c r="V203" s="702"/>
      <c r="W203" s="702"/>
      <c r="X203" s="702"/>
      <c r="Y203" s="702"/>
      <c r="Z203" s="702"/>
      <c r="AA203" s="702"/>
      <c r="AB203" s="702"/>
      <c r="AC203" s="702"/>
      <c r="AD203" s="702"/>
    </row>
    <row r="204" spans="2:30" ht="15.75">
      <c r="B204" s="705"/>
      <c r="C204" s="705"/>
      <c r="D204" s="705"/>
      <c r="E204" s="705"/>
      <c r="F204" s="705"/>
      <c r="G204" s="705"/>
      <c r="H204" s="705"/>
      <c r="I204" s="705"/>
      <c r="J204" s="705"/>
      <c r="K204" s="705"/>
      <c r="L204" s="702"/>
      <c r="M204" s="702"/>
      <c r="N204" s="702"/>
      <c r="O204" s="702"/>
      <c r="P204" s="702"/>
      <c r="Q204" s="702"/>
      <c r="R204" s="702"/>
      <c r="S204" s="702"/>
      <c r="T204" s="702"/>
      <c r="U204" s="702"/>
      <c r="V204" s="702"/>
      <c r="W204" s="702"/>
      <c r="X204" s="702"/>
      <c r="Y204" s="702"/>
      <c r="Z204" s="702"/>
      <c r="AA204" s="702"/>
      <c r="AB204" s="702"/>
      <c r="AC204" s="702"/>
      <c r="AD204" s="702"/>
    </row>
    <row r="205" spans="2:30" ht="15.75">
      <c r="B205" s="705"/>
      <c r="C205" s="705"/>
      <c r="D205" s="705"/>
      <c r="E205" s="705"/>
      <c r="F205" s="705"/>
      <c r="G205" s="705"/>
      <c r="H205" s="705"/>
      <c r="I205" s="705"/>
      <c r="J205" s="705"/>
      <c r="K205" s="705"/>
      <c r="L205" s="702"/>
      <c r="M205" s="702"/>
      <c r="N205" s="702"/>
      <c r="O205" s="702"/>
      <c r="P205" s="702"/>
      <c r="Q205" s="702"/>
      <c r="R205" s="702"/>
      <c r="S205" s="702"/>
      <c r="T205" s="702"/>
      <c r="U205" s="702"/>
      <c r="V205" s="702"/>
      <c r="W205" s="702"/>
      <c r="X205" s="702"/>
      <c r="Y205" s="702"/>
      <c r="Z205" s="702"/>
      <c r="AA205" s="702"/>
      <c r="AB205" s="702"/>
      <c r="AC205" s="702"/>
      <c r="AD205" s="702"/>
    </row>
    <row r="206" spans="2:30" ht="15.75">
      <c r="B206" s="705"/>
      <c r="C206" s="705"/>
      <c r="D206" s="705"/>
      <c r="E206" s="705"/>
      <c r="F206" s="705"/>
      <c r="G206" s="705"/>
      <c r="H206" s="705"/>
      <c r="I206" s="705"/>
      <c r="J206" s="705"/>
      <c r="K206" s="705"/>
      <c r="L206" s="702"/>
      <c r="M206" s="702"/>
      <c r="N206" s="702"/>
      <c r="O206" s="702"/>
      <c r="P206" s="702"/>
      <c r="Q206" s="702"/>
      <c r="R206" s="702"/>
      <c r="S206" s="702"/>
      <c r="T206" s="702"/>
      <c r="U206" s="702"/>
      <c r="V206" s="702"/>
      <c r="W206" s="702"/>
      <c r="X206" s="702"/>
      <c r="Y206" s="702"/>
      <c r="Z206" s="702"/>
      <c r="AA206" s="702"/>
      <c r="AB206" s="702"/>
      <c r="AC206" s="702"/>
      <c r="AD206" s="702"/>
    </row>
    <row r="207" spans="2:30" ht="15.75">
      <c r="B207" s="705"/>
      <c r="C207" s="705"/>
      <c r="D207" s="705"/>
      <c r="E207" s="705"/>
      <c r="F207" s="705"/>
      <c r="G207" s="705"/>
      <c r="H207" s="705"/>
      <c r="I207" s="705"/>
      <c r="J207" s="705"/>
      <c r="K207" s="705"/>
      <c r="L207" s="702"/>
      <c r="M207" s="702"/>
      <c r="N207" s="702"/>
      <c r="O207" s="702"/>
      <c r="P207" s="702"/>
      <c r="Q207" s="702"/>
      <c r="R207" s="702"/>
      <c r="S207" s="702"/>
      <c r="T207" s="702"/>
      <c r="U207" s="702"/>
      <c r="V207" s="702"/>
      <c r="W207" s="702"/>
      <c r="X207" s="702"/>
      <c r="Y207" s="702"/>
      <c r="Z207" s="702"/>
      <c r="AA207" s="702"/>
      <c r="AB207" s="702"/>
      <c r="AC207" s="702"/>
      <c r="AD207" s="702"/>
    </row>
    <row r="208" spans="2:30" ht="15.75">
      <c r="B208" s="705"/>
      <c r="C208" s="705"/>
      <c r="D208" s="705"/>
      <c r="E208" s="705"/>
      <c r="F208" s="705"/>
      <c r="G208" s="705"/>
      <c r="H208" s="705"/>
      <c r="I208" s="705"/>
      <c r="J208" s="705"/>
      <c r="K208" s="705"/>
      <c r="L208" s="702"/>
      <c r="M208" s="702"/>
      <c r="N208" s="702"/>
      <c r="O208" s="702"/>
      <c r="P208" s="702"/>
      <c r="Q208" s="702"/>
      <c r="R208" s="702"/>
      <c r="S208" s="702"/>
      <c r="T208" s="702"/>
      <c r="U208" s="702"/>
      <c r="V208" s="702"/>
      <c r="W208" s="702"/>
      <c r="X208" s="702"/>
      <c r="Y208" s="702"/>
      <c r="Z208" s="702"/>
      <c r="AA208" s="702"/>
      <c r="AB208" s="702"/>
      <c r="AC208" s="702"/>
      <c r="AD208" s="702"/>
    </row>
    <row r="209" spans="2:30" ht="15.75">
      <c r="B209" s="705"/>
      <c r="C209" s="705"/>
      <c r="D209" s="705"/>
      <c r="E209" s="705"/>
      <c r="F209" s="705"/>
      <c r="G209" s="705"/>
      <c r="H209" s="705"/>
      <c r="I209" s="705"/>
      <c r="J209" s="705"/>
      <c r="K209" s="705"/>
      <c r="L209" s="702"/>
      <c r="M209" s="702"/>
      <c r="N209" s="702"/>
      <c r="O209" s="702"/>
      <c r="P209" s="702"/>
      <c r="Q209" s="702"/>
      <c r="R209" s="702"/>
      <c r="S209" s="702"/>
      <c r="T209" s="702"/>
      <c r="U209" s="702"/>
      <c r="V209" s="702"/>
      <c r="W209" s="702"/>
      <c r="X209" s="702"/>
      <c r="Y209" s="702"/>
      <c r="Z209" s="702"/>
      <c r="AA209" s="702"/>
      <c r="AB209" s="702"/>
      <c r="AC209" s="702"/>
      <c r="AD209" s="702"/>
    </row>
    <row r="210" spans="2:30" ht="15.75">
      <c r="B210" s="705"/>
      <c r="C210" s="705"/>
      <c r="D210" s="705"/>
      <c r="E210" s="705"/>
      <c r="F210" s="705"/>
      <c r="G210" s="705"/>
      <c r="H210" s="705"/>
      <c r="I210" s="705"/>
      <c r="J210" s="705"/>
      <c r="K210" s="705"/>
      <c r="L210" s="702"/>
      <c r="M210" s="702"/>
      <c r="N210" s="702"/>
      <c r="O210" s="702"/>
      <c r="P210" s="702"/>
      <c r="Q210" s="702"/>
      <c r="R210" s="702"/>
      <c r="S210" s="702"/>
      <c r="T210" s="702"/>
      <c r="U210" s="702"/>
      <c r="V210" s="702"/>
      <c r="W210" s="702"/>
      <c r="X210" s="702"/>
      <c r="Y210" s="702"/>
      <c r="Z210" s="702"/>
      <c r="AA210" s="702"/>
      <c r="AB210" s="702"/>
      <c r="AC210" s="702"/>
      <c r="AD210" s="702"/>
    </row>
    <row r="211" spans="2:30" ht="15.75">
      <c r="B211" s="705"/>
      <c r="C211" s="705"/>
      <c r="D211" s="705"/>
      <c r="E211" s="705"/>
      <c r="F211" s="705"/>
      <c r="G211" s="705"/>
      <c r="H211" s="705"/>
      <c r="I211" s="705"/>
      <c r="J211" s="705"/>
      <c r="K211" s="705"/>
      <c r="L211" s="702"/>
      <c r="M211" s="702"/>
      <c r="N211" s="702"/>
      <c r="O211" s="702"/>
      <c r="P211" s="702"/>
      <c r="Q211" s="702"/>
      <c r="R211" s="702"/>
      <c r="S211" s="702"/>
      <c r="T211" s="702"/>
      <c r="U211" s="702"/>
      <c r="V211" s="702"/>
      <c r="W211" s="702"/>
      <c r="X211" s="702"/>
      <c r="Y211" s="702"/>
      <c r="Z211" s="702"/>
      <c r="AA211" s="702"/>
      <c r="AB211" s="702"/>
      <c r="AC211" s="702"/>
      <c r="AD211" s="702"/>
    </row>
    <row r="212" spans="2:30" ht="15.75">
      <c r="B212" s="705"/>
      <c r="C212" s="705"/>
      <c r="D212" s="705"/>
      <c r="E212" s="705"/>
      <c r="F212" s="705"/>
      <c r="G212" s="705"/>
      <c r="H212" s="705"/>
      <c r="I212" s="705"/>
      <c r="J212" s="705"/>
      <c r="K212" s="705"/>
      <c r="L212" s="702"/>
      <c r="M212" s="702"/>
      <c r="N212" s="702"/>
      <c r="O212" s="702"/>
      <c r="P212" s="702"/>
      <c r="Q212" s="702"/>
      <c r="R212" s="702"/>
      <c r="S212" s="702"/>
      <c r="T212" s="702"/>
      <c r="U212" s="702"/>
      <c r="V212" s="702"/>
      <c r="W212" s="702"/>
      <c r="X212" s="702"/>
      <c r="Y212" s="702"/>
      <c r="Z212" s="702"/>
      <c r="AA212" s="702"/>
      <c r="AB212" s="702"/>
      <c r="AC212" s="702"/>
      <c r="AD212" s="702"/>
    </row>
    <row r="213" spans="2:30" ht="15.75">
      <c r="B213" s="705"/>
      <c r="C213" s="705"/>
      <c r="D213" s="705"/>
      <c r="E213" s="705"/>
      <c r="F213" s="705"/>
      <c r="G213" s="705"/>
      <c r="H213" s="705"/>
      <c r="I213" s="705"/>
      <c r="J213" s="705"/>
      <c r="K213" s="705"/>
      <c r="L213" s="702"/>
      <c r="M213" s="702"/>
      <c r="N213" s="702"/>
      <c r="O213" s="702"/>
      <c r="P213" s="702"/>
      <c r="Q213" s="702"/>
      <c r="R213" s="702"/>
      <c r="S213" s="702"/>
      <c r="T213" s="702"/>
      <c r="U213" s="702"/>
      <c r="V213" s="702"/>
      <c r="W213" s="702"/>
      <c r="X213" s="702"/>
      <c r="Y213" s="702"/>
      <c r="Z213" s="702"/>
      <c r="AA213" s="702"/>
      <c r="AB213" s="702"/>
      <c r="AC213" s="702"/>
      <c r="AD213" s="702"/>
    </row>
    <row r="214" spans="2:30" ht="15.75">
      <c r="B214" s="705"/>
      <c r="C214" s="705"/>
      <c r="D214" s="705"/>
      <c r="E214" s="705"/>
      <c r="F214" s="705"/>
      <c r="G214" s="705"/>
      <c r="H214" s="705"/>
      <c r="I214" s="705"/>
      <c r="J214" s="705"/>
      <c r="K214" s="705"/>
      <c r="L214" s="702"/>
      <c r="M214" s="702"/>
      <c r="N214" s="702"/>
      <c r="O214" s="702"/>
      <c r="P214" s="702"/>
      <c r="Q214" s="702"/>
      <c r="R214" s="702"/>
      <c r="S214" s="702"/>
      <c r="T214" s="702"/>
      <c r="U214" s="702"/>
      <c r="V214" s="702"/>
      <c r="W214" s="702"/>
      <c r="X214" s="702"/>
      <c r="Y214" s="702"/>
      <c r="Z214" s="702"/>
      <c r="AA214" s="702"/>
      <c r="AB214" s="702"/>
      <c r="AC214" s="702"/>
      <c r="AD214" s="702"/>
    </row>
    <row r="215" spans="2:30" ht="15.75">
      <c r="B215" s="705"/>
      <c r="C215" s="705"/>
      <c r="D215" s="705"/>
      <c r="E215" s="705"/>
      <c r="F215" s="705"/>
      <c r="G215" s="705"/>
      <c r="H215" s="705"/>
      <c r="I215" s="705"/>
      <c r="J215" s="705"/>
      <c r="K215" s="705"/>
      <c r="L215" s="702"/>
      <c r="M215" s="702"/>
      <c r="N215" s="702"/>
      <c r="O215" s="702"/>
      <c r="P215" s="702"/>
      <c r="Q215" s="702"/>
      <c r="R215" s="702"/>
      <c r="S215" s="702"/>
      <c r="T215" s="702"/>
      <c r="U215" s="702"/>
      <c r="V215" s="702"/>
      <c r="W215" s="702"/>
      <c r="X215" s="702"/>
      <c r="Y215" s="702"/>
      <c r="Z215" s="702"/>
      <c r="AA215" s="702"/>
      <c r="AB215" s="702"/>
      <c r="AC215" s="702"/>
      <c r="AD215" s="702"/>
    </row>
    <row r="216" spans="2:30" ht="15.75">
      <c r="B216" s="705"/>
      <c r="C216" s="705"/>
      <c r="D216" s="705"/>
      <c r="E216" s="705"/>
      <c r="F216" s="705"/>
      <c r="G216" s="705"/>
      <c r="H216" s="705"/>
      <c r="I216" s="705"/>
      <c r="J216" s="705"/>
      <c r="K216" s="705"/>
      <c r="L216" s="702"/>
      <c r="M216" s="702"/>
      <c r="N216" s="702"/>
      <c r="O216" s="702"/>
      <c r="P216" s="702"/>
      <c r="Q216" s="702"/>
      <c r="R216" s="702"/>
      <c r="S216" s="702"/>
      <c r="T216" s="702"/>
      <c r="U216" s="702"/>
      <c r="V216" s="702"/>
      <c r="W216" s="702"/>
      <c r="X216" s="702"/>
      <c r="Y216" s="702"/>
      <c r="Z216" s="702"/>
      <c r="AA216" s="702"/>
      <c r="AB216" s="702"/>
      <c r="AC216" s="702"/>
      <c r="AD216" s="702"/>
    </row>
    <row r="217" spans="2:30" ht="15.75">
      <c r="B217" s="705"/>
      <c r="C217" s="705"/>
      <c r="D217" s="705"/>
      <c r="E217" s="705"/>
      <c r="F217" s="705"/>
      <c r="G217" s="705"/>
      <c r="H217" s="705"/>
      <c r="I217" s="705"/>
      <c r="J217" s="705"/>
      <c r="K217" s="705"/>
      <c r="L217" s="702"/>
      <c r="M217" s="702"/>
      <c r="N217" s="702"/>
      <c r="O217" s="702"/>
      <c r="P217" s="702"/>
      <c r="Q217" s="702"/>
      <c r="R217" s="702"/>
      <c r="S217" s="702"/>
      <c r="T217" s="702"/>
      <c r="U217" s="702"/>
      <c r="V217" s="702"/>
      <c r="W217" s="702"/>
      <c r="X217" s="702"/>
      <c r="Y217" s="702"/>
      <c r="Z217" s="702"/>
      <c r="AA217" s="702"/>
      <c r="AB217" s="702"/>
      <c r="AC217" s="702"/>
      <c r="AD217" s="702"/>
    </row>
    <row r="218" spans="2:30" ht="15.75">
      <c r="B218" s="705"/>
      <c r="C218" s="705"/>
      <c r="D218" s="705"/>
      <c r="E218" s="705"/>
      <c r="F218" s="705"/>
      <c r="G218" s="705"/>
      <c r="H218" s="705"/>
      <c r="I218" s="705"/>
      <c r="J218" s="705"/>
      <c r="K218" s="705"/>
      <c r="L218" s="702"/>
      <c r="M218" s="702"/>
      <c r="N218" s="702"/>
      <c r="O218" s="702"/>
      <c r="P218" s="702"/>
      <c r="Q218" s="702"/>
      <c r="R218" s="702"/>
      <c r="S218" s="702"/>
      <c r="T218" s="702"/>
      <c r="U218" s="702"/>
      <c r="V218" s="702"/>
      <c r="W218" s="702"/>
      <c r="X218" s="702"/>
      <c r="Y218" s="702"/>
      <c r="Z218" s="702"/>
      <c r="AA218" s="702"/>
      <c r="AB218" s="702"/>
      <c r="AC218" s="702"/>
      <c r="AD218" s="702"/>
    </row>
    <row r="219" spans="2:30" ht="15.75">
      <c r="B219" s="705"/>
      <c r="C219" s="705"/>
      <c r="D219" s="705"/>
      <c r="E219" s="705"/>
      <c r="F219" s="705"/>
      <c r="G219" s="705"/>
      <c r="H219" s="705"/>
      <c r="I219" s="705"/>
      <c r="J219" s="705"/>
      <c r="K219" s="705"/>
      <c r="L219" s="702"/>
      <c r="M219" s="702"/>
      <c r="N219" s="702"/>
      <c r="O219" s="702"/>
      <c r="P219" s="702"/>
      <c r="Q219" s="702"/>
      <c r="R219" s="702"/>
      <c r="S219" s="702"/>
      <c r="T219" s="702"/>
      <c r="U219" s="702"/>
      <c r="V219" s="702"/>
      <c r="W219" s="702"/>
      <c r="X219" s="702"/>
      <c r="Y219" s="702"/>
      <c r="Z219" s="702"/>
      <c r="AA219" s="702"/>
      <c r="AB219" s="702"/>
      <c r="AC219" s="702"/>
      <c r="AD219" s="702"/>
    </row>
    <row r="220" spans="2:30" ht="15.75">
      <c r="B220" s="705"/>
      <c r="C220" s="705"/>
      <c r="D220" s="705"/>
      <c r="E220" s="705"/>
      <c r="F220" s="705"/>
      <c r="G220" s="705"/>
      <c r="H220" s="705"/>
      <c r="I220" s="705"/>
      <c r="J220" s="705"/>
      <c r="K220" s="705"/>
      <c r="L220" s="702"/>
      <c r="M220" s="702"/>
      <c r="N220" s="702"/>
      <c r="O220" s="702"/>
      <c r="P220" s="702"/>
      <c r="Q220" s="702"/>
      <c r="R220" s="702"/>
      <c r="S220" s="702"/>
      <c r="T220" s="702"/>
      <c r="U220" s="702"/>
      <c r="V220" s="702"/>
      <c r="W220" s="702"/>
      <c r="X220" s="702"/>
      <c r="Y220" s="702"/>
      <c r="Z220" s="702"/>
      <c r="AA220" s="702"/>
      <c r="AB220" s="702"/>
      <c r="AC220" s="702"/>
      <c r="AD220" s="702"/>
    </row>
    <row r="221" spans="2:30" ht="15.75">
      <c r="B221" s="705"/>
      <c r="C221" s="705"/>
      <c r="D221" s="705"/>
      <c r="E221" s="705"/>
      <c r="F221" s="705"/>
      <c r="G221" s="705"/>
      <c r="H221" s="705"/>
      <c r="I221" s="705"/>
      <c r="J221" s="705"/>
      <c r="K221" s="705"/>
      <c r="L221" s="702"/>
      <c r="M221" s="702"/>
      <c r="N221" s="702"/>
      <c r="O221" s="702"/>
      <c r="P221" s="702"/>
      <c r="Q221" s="702"/>
      <c r="R221" s="702"/>
      <c r="S221" s="702"/>
      <c r="T221" s="702"/>
      <c r="U221" s="702"/>
      <c r="V221" s="702"/>
      <c r="W221" s="702"/>
      <c r="X221" s="702"/>
      <c r="Y221" s="702"/>
      <c r="Z221" s="702"/>
      <c r="AA221" s="702"/>
      <c r="AB221" s="702"/>
      <c r="AC221" s="702"/>
      <c r="AD221" s="702"/>
    </row>
    <row r="222" spans="2:30" ht="15.75">
      <c r="B222" s="705"/>
      <c r="C222" s="705"/>
      <c r="D222" s="705"/>
      <c r="E222" s="705"/>
      <c r="F222" s="705"/>
      <c r="G222" s="705"/>
      <c r="H222" s="705"/>
      <c r="I222" s="705"/>
      <c r="J222" s="705"/>
      <c r="K222" s="705"/>
      <c r="L222" s="702"/>
      <c r="M222" s="702"/>
      <c r="N222" s="702"/>
      <c r="O222" s="702"/>
      <c r="P222" s="702"/>
      <c r="Q222" s="702"/>
      <c r="R222" s="702"/>
      <c r="S222" s="702"/>
      <c r="T222" s="702"/>
      <c r="U222" s="702"/>
      <c r="V222" s="702"/>
      <c r="W222" s="702"/>
      <c r="X222" s="702"/>
      <c r="Y222" s="702"/>
      <c r="Z222" s="702"/>
      <c r="AA222" s="702"/>
      <c r="AB222" s="702"/>
      <c r="AC222" s="702"/>
      <c r="AD222" s="702"/>
    </row>
    <row r="223" spans="2:30" ht="15.75">
      <c r="B223" s="705"/>
      <c r="C223" s="705"/>
      <c r="D223" s="705"/>
      <c r="E223" s="705"/>
      <c r="F223" s="705"/>
      <c r="G223" s="705"/>
      <c r="H223" s="705"/>
      <c r="I223" s="705"/>
      <c r="J223" s="705"/>
      <c r="K223" s="705"/>
      <c r="L223" s="702"/>
      <c r="M223" s="702"/>
      <c r="N223" s="702"/>
      <c r="O223" s="702"/>
      <c r="P223" s="702"/>
      <c r="Q223" s="702"/>
      <c r="R223" s="702"/>
      <c r="S223" s="702"/>
      <c r="T223" s="702"/>
      <c r="U223" s="702"/>
      <c r="V223" s="702"/>
      <c r="W223" s="702"/>
      <c r="X223" s="702"/>
      <c r="Y223" s="702"/>
      <c r="Z223" s="702"/>
      <c r="AA223" s="702"/>
      <c r="AB223" s="702"/>
      <c r="AC223" s="702"/>
      <c r="AD223" s="702"/>
    </row>
    <row r="224" spans="2:30" ht="15.75">
      <c r="B224" s="705"/>
      <c r="C224" s="705"/>
      <c r="D224" s="705"/>
      <c r="E224" s="705"/>
      <c r="F224" s="705"/>
      <c r="G224" s="705"/>
      <c r="H224" s="705"/>
      <c r="I224" s="705"/>
      <c r="J224" s="705"/>
      <c r="K224" s="705"/>
      <c r="L224" s="702"/>
      <c r="M224" s="702"/>
      <c r="N224" s="702"/>
      <c r="O224" s="702"/>
      <c r="P224" s="702"/>
      <c r="Q224" s="702"/>
      <c r="R224" s="702"/>
      <c r="S224" s="702"/>
      <c r="T224" s="702"/>
      <c r="U224" s="702"/>
      <c r="V224" s="702"/>
      <c r="W224" s="702"/>
      <c r="X224" s="702"/>
      <c r="Y224" s="702"/>
      <c r="Z224" s="702"/>
      <c r="AA224" s="702"/>
      <c r="AB224" s="702"/>
      <c r="AC224" s="702"/>
      <c r="AD224" s="702"/>
    </row>
    <row r="225" spans="2:30" ht="15.75">
      <c r="B225" s="705"/>
      <c r="C225" s="705"/>
      <c r="D225" s="705"/>
      <c r="E225" s="705"/>
      <c r="F225" s="705"/>
      <c r="G225" s="705"/>
      <c r="H225" s="705"/>
      <c r="I225" s="705"/>
      <c r="J225" s="705"/>
      <c r="K225" s="705"/>
      <c r="L225" s="702"/>
      <c r="M225" s="702"/>
      <c r="N225" s="702"/>
      <c r="O225" s="702"/>
      <c r="P225" s="702"/>
      <c r="Q225" s="702"/>
      <c r="R225" s="702"/>
      <c r="S225" s="702"/>
      <c r="T225" s="702"/>
      <c r="U225" s="702"/>
      <c r="V225" s="702"/>
      <c r="W225" s="702"/>
      <c r="X225" s="702"/>
      <c r="Y225" s="702"/>
      <c r="Z225" s="702"/>
      <c r="AA225" s="702"/>
      <c r="AB225" s="702"/>
      <c r="AC225" s="702"/>
      <c r="AD225" s="702"/>
    </row>
    <row r="226" spans="2:30" ht="15.75">
      <c r="B226" s="705"/>
      <c r="C226" s="705"/>
      <c r="D226" s="705"/>
      <c r="E226" s="705"/>
      <c r="F226" s="705"/>
      <c r="G226" s="705"/>
      <c r="H226" s="705"/>
      <c r="I226" s="705"/>
      <c r="J226" s="705"/>
      <c r="K226" s="705"/>
      <c r="L226" s="702"/>
      <c r="M226" s="702"/>
      <c r="N226" s="702"/>
      <c r="O226" s="702"/>
      <c r="P226" s="702"/>
      <c r="Q226" s="702"/>
      <c r="R226" s="702"/>
      <c r="S226" s="702"/>
      <c r="T226" s="702"/>
      <c r="U226" s="702"/>
      <c r="V226" s="702"/>
      <c r="W226" s="702"/>
      <c r="X226" s="702"/>
      <c r="Y226" s="702"/>
      <c r="Z226" s="702"/>
      <c r="AA226" s="702"/>
      <c r="AB226" s="702"/>
      <c r="AC226" s="702"/>
      <c r="AD226" s="702"/>
    </row>
    <row r="227" spans="2:30" ht="15.75">
      <c r="B227" s="705"/>
      <c r="C227" s="705"/>
      <c r="D227" s="705"/>
      <c r="E227" s="705"/>
      <c r="F227" s="705"/>
      <c r="G227" s="705"/>
      <c r="H227" s="705"/>
      <c r="I227" s="705"/>
      <c r="J227" s="705"/>
      <c r="K227" s="705"/>
      <c r="L227" s="702"/>
      <c r="M227" s="702"/>
      <c r="N227" s="702"/>
      <c r="O227" s="702"/>
      <c r="P227" s="702"/>
      <c r="Q227" s="702"/>
      <c r="R227" s="702"/>
      <c r="S227" s="702"/>
      <c r="T227" s="702"/>
      <c r="U227" s="702"/>
      <c r="V227" s="702"/>
      <c r="W227" s="702"/>
      <c r="X227" s="702"/>
      <c r="Y227" s="702"/>
      <c r="Z227" s="702"/>
      <c r="AA227" s="702"/>
      <c r="AB227" s="702"/>
      <c r="AC227" s="702"/>
      <c r="AD227" s="702"/>
    </row>
    <row r="228" spans="2:30" ht="15.75">
      <c r="B228" s="705"/>
      <c r="C228" s="705"/>
      <c r="D228" s="705"/>
      <c r="E228" s="705"/>
      <c r="F228" s="705"/>
      <c r="G228" s="705"/>
      <c r="H228" s="705"/>
      <c r="I228" s="705"/>
      <c r="J228" s="705"/>
      <c r="K228" s="705"/>
      <c r="L228" s="702"/>
      <c r="M228" s="702"/>
      <c r="N228" s="702"/>
      <c r="O228" s="702"/>
      <c r="P228" s="702"/>
      <c r="Q228" s="702"/>
      <c r="R228" s="702"/>
      <c r="S228" s="702"/>
      <c r="T228" s="702"/>
      <c r="U228" s="702"/>
      <c r="V228" s="702"/>
      <c r="W228" s="702"/>
      <c r="X228" s="702"/>
      <c r="Y228" s="702"/>
      <c r="Z228" s="702"/>
      <c r="AA228" s="702"/>
      <c r="AB228" s="702"/>
      <c r="AC228" s="702"/>
      <c r="AD228" s="702"/>
    </row>
    <row r="229" spans="2:30" ht="15.75">
      <c r="B229" s="705"/>
      <c r="C229" s="705"/>
      <c r="D229" s="705"/>
      <c r="E229" s="705"/>
      <c r="F229" s="705"/>
      <c r="G229" s="705"/>
      <c r="H229" s="705"/>
      <c r="I229" s="705"/>
      <c r="J229" s="705"/>
      <c r="K229" s="705"/>
      <c r="L229" s="702"/>
      <c r="M229" s="702"/>
      <c r="N229" s="702"/>
      <c r="O229" s="702"/>
      <c r="P229" s="702"/>
      <c r="Q229" s="702"/>
      <c r="R229" s="702"/>
      <c r="S229" s="702"/>
      <c r="T229" s="702"/>
      <c r="U229" s="702"/>
      <c r="V229" s="702"/>
      <c r="W229" s="702"/>
      <c r="X229" s="702"/>
      <c r="Y229" s="702"/>
      <c r="Z229" s="702"/>
      <c r="AA229" s="702"/>
      <c r="AB229" s="702"/>
      <c r="AC229" s="702"/>
      <c r="AD229" s="702"/>
    </row>
    <row r="230" spans="2:30" ht="15.75">
      <c r="B230" s="705"/>
      <c r="C230" s="705"/>
      <c r="D230" s="705"/>
      <c r="E230" s="705"/>
      <c r="F230" s="705"/>
      <c r="G230" s="705"/>
      <c r="H230" s="705"/>
      <c r="I230" s="705"/>
      <c r="J230" s="705"/>
      <c r="K230" s="705"/>
      <c r="L230" s="702"/>
      <c r="M230" s="702"/>
      <c r="N230" s="702"/>
      <c r="O230" s="702"/>
      <c r="P230" s="702"/>
      <c r="Q230" s="702"/>
      <c r="R230" s="702"/>
      <c r="S230" s="702"/>
      <c r="T230" s="702"/>
      <c r="U230" s="702"/>
      <c r="V230" s="702"/>
      <c r="W230" s="702"/>
      <c r="X230" s="702"/>
      <c r="Y230" s="702"/>
      <c r="Z230" s="702"/>
      <c r="AA230" s="702"/>
      <c r="AB230" s="702"/>
      <c r="AC230" s="702"/>
      <c r="AD230" s="702"/>
    </row>
    <row r="231" spans="2:30" ht="15.75">
      <c r="B231" s="705"/>
      <c r="C231" s="705"/>
      <c r="D231" s="705"/>
      <c r="E231" s="705"/>
      <c r="F231" s="705"/>
      <c r="G231" s="705"/>
      <c r="H231" s="705"/>
      <c r="I231" s="705"/>
      <c r="J231" s="705"/>
      <c r="K231" s="705"/>
      <c r="L231" s="702"/>
      <c r="M231" s="702"/>
      <c r="N231" s="702"/>
      <c r="O231" s="702"/>
      <c r="P231" s="702"/>
      <c r="Q231" s="702"/>
      <c r="R231" s="702"/>
      <c r="S231" s="702"/>
      <c r="T231" s="702"/>
      <c r="U231" s="702"/>
      <c r="V231" s="702"/>
      <c r="W231" s="702"/>
      <c r="X231" s="702"/>
      <c r="Y231" s="702"/>
      <c r="Z231" s="702"/>
      <c r="AA231" s="702"/>
      <c r="AB231" s="702"/>
      <c r="AC231" s="702"/>
      <c r="AD231" s="702"/>
    </row>
    <row r="232" spans="2:30" ht="15.75">
      <c r="B232" s="705"/>
      <c r="C232" s="705"/>
      <c r="D232" s="705"/>
      <c r="E232" s="705"/>
      <c r="F232" s="705"/>
      <c r="G232" s="705"/>
      <c r="H232" s="705"/>
      <c r="I232" s="705"/>
      <c r="J232" s="705"/>
      <c r="K232" s="705"/>
      <c r="L232" s="702"/>
      <c r="M232" s="702"/>
      <c r="N232" s="702"/>
      <c r="O232" s="702"/>
      <c r="P232" s="702"/>
      <c r="Q232" s="702"/>
      <c r="R232" s="702"/>
      <c r="S232" s="702"/>
      <c r="T232" s="702"/>
      <c r="U232" s="702"/>
      <c r="V232" s="702"/>
      <c r="W232" s="702"/>
      <c r="X232" s="702"/>
      <c r="Y232" s="702"/>
      <c r="Z232" s="702"/>
      <c r="AA232" s="702"/>
      <c r="AB232" s="702"/>
      <c r="AC232" s="702"/>
      <c r="AD232" s="702"/>
    </row>
    <row r="233" spans="2:30" ht="15.75">
      <c r="B233" s="705"/>
      <c r="C233" s="705"/>
      <c r="D233" s="705"/>
      <c r="E233" s="705"/>
      <c r="F233" s="705"/>
      <c r="G233" s="705"/>
      <c r="H233" s="705"/>
      <c r="I233" s="705"/>
      <c r="J233" s="705"/>
      <c r="K233" s="705"/>
      <c r="L233" s="702"/>
      <c r="M233" s="702"/>
      <c r="N233" s="702"/>
      <c r="O233" s="702"/>
      <c r="P233" s="702"/>
      <c r="Q233" s="702"/>
      <c r="R233" s="702"/>
      <c r="S233" s="702"/>
      <c r="T233" s="702"/>
      <c r="U233" s="702"/>
      <c r="V233" s="702"/>
      <c r="W233" s="702"/>
      <c r="X233" s="702"/>
      <c r="Y233" s="702"/>
      <c r="Z233" s="702"/>
      <c r="AA233" s="702"/>
      <c r="AB233" s="702"/>
      <c r="AC233" s="702"/>
      <c r="AD233" s="702"/>
    </row>
    <row r="234" spans="2:30" ht="15.75">
      <c r="B234" s="705"/>
      <c r="C234" s="705"/>
      <c r="D234" s="705"/>
      <c r="E234" s="705"/>
      <c r="F234" s="705"/>
      <c r="G234" s="705"/>
      <c r="H234" s="705"/>
      <c r="I234" s="705"/>
      <c r="J234" s="705"/>
      <c r="K234" s="705"/>
      <c r="L234" s="702"/>
      <c r="M234" s="702"/>
      <c r="N234" s="702"/>
      <c r="O234" s="702"/>
      <c r="P234" s="702"/>
      <c r="Q234" s="702"/>
      <c r="R234" s="702"/>
      <c r="S234" s="702"/>
      <c r="T234" s="702"/>
      <c r="U234" s="702"/>
      <c r="V234" s="702"/>
      <c r="W234" s="702"/>
      <c r="X234" s="702"/>
      <c r="Y234" s="702"/>
      <c r="Z234" s="702"/>
      <c r="AA234" s="702"/>
      <c r="AB234" s="702"/>
      <c r="AC234" s="702"/>
      <c r="AD234" s="702"/>
    </row>
    <row r="235" spans="2:30" ht="15.75">
      <c r="B235" s="705"/>
      <c r="C235" s="705"/>
      <c r="D235" s="705"/>
      <c r="E235" s="705"/>
      <c r="F235" s="705"/>
      <c r="G235" s="705"/>
      <c r="H235" s="705"/>
      <c r="I235" s="705"/>
      <c r="J235" s="705"/>
      <c r="K235" s="705"/>
      <c r="L235" s="702"/>
      <c r="M235" s="702"/>
      <c r="N235" s="702"/>
      <c r="O235" s="702"/>
      <c r="P235" s="702"/>
      <c r="Q235" s="702"/>
      <c r="R235" s="702"/>
      <c r="S235" s="702"/>
      <c r="T235" s="702"/>
      <c r="U235" s="702"/>
      <c r="V235" s="702"/>
      <c r="W235" s="702"/>
      <c r="X235" s="702"/>
      <c r="Y235" s="702"/>
      <c r="Z235" s="702"/>
      <c r="AA235" s="702"/>
      <c r="AB235" s="702"/>
      <c r="AC235" s="702"/>
      <c r="AD235" s="702"/>
    </row>
    <row r="236" spans="2:30" ht="15.75">
      <c r="B236" s="705"/>
      <c r="C236" s="705"/>
      <c r="D236" s="705"/>
      <c r="E236" s="705"/>
      <c r="F236" s="705"/>
      <c r="G236" s="705"/>
      <c r="H236" s="705"/>
      <c r="I236" s="705"/>
      <c r="J236" s="705"/>
      <c r="K236" s="705"/>
      <c r="L236" s="702"/>
      <c r="M236" s="702"/>
      <c r="N236" s="702"/>
      <c r="O236" s="702"/>
      <c r="P236" s="702"/>
      <c r="Q236" s="702"/>
      <c r="R236" s="702"/>
      <c r="S236" s="702"/>
      <c r="T236" s="702"/>
      <c r="U236" s="702"/>
      <c r="V236" s="702"/>
      <c r="W236" s="702"/>
      <c r="X236" s="702"/>
      <c r="Y236" s="702"/>
      <c r="Z236" s="702"/>
      <c r="AA236" s="702"/>
      <c r="AB236" s="702"/>
      <c r="AC236" s="702"/>
      <c r="AD236" s="702"/>
    </row>
    <row r="237" spans="2:30" ht="15.75">
      <c r="B237" s="705"/>
      <c r="C237" s="705"/>
      <c r="D237" s="705"/>
      <c r="E237" s="705"/>
      <c r="F237" s="705"/>
      <c r="G237" s="705"/>
      <c r="H237" s="705"/>
      <c r="I237" s="705"/>
      <c r="J237" s="705"/>
      <c r="K237" s="705"/>
      <c r="L237" s="702"/>
      <c r="M237" s="702"/>
      <c r="N237" s="702"/>
      <c r="O237" s="702"/>
      <c r="P237" s="702"/>
      <c r="Q237" s="702"/>
      <c r="R237" s="702"/>
      <c r="S237" s="702"/>
      <c r="T237" s="702"/>
      <c r="U237" s="702"/>
      <c r="V237" s="702"/>
      <c r="W237" s="702"/>
      <c r="X237" s="702"/>
      <c r="Y237" s="702"/>
      <c r="Z237" s="702"/>
      <c r="AA237" s="702"/>
      <c r="AB237" s="702"/>
      <c r="AC237" s="702"/>
      <c r="AD237" s="702"/>
    </row>
    <row r="238" spans="2:30" ht="15.75">
      <c r="B238" s="705"/>
      <c r="C238" s="705"/>
      <c r="D238" s="705"/>
      <c r="E238" s="705"/>
      <c r="F238" s="705"/>
      <c r="G238" s="705"/>
      <c r="H238" s="705"/>
      <c r="I238" s="705"/>
      <c r="J238" s="705"/>
      <c r="K238" s="705"/>
      <c r="L238" s="702"/>
      <c r="M238" s="702"/>
      <c r="N238" s="702"/>
      <c r="O238" s="702"/>
      <c r="P238" s="702"/>
      <c r="Q238" s="702"/>
      <c r="R238" s="702"/>
      <c r="S238" s="702"/>
      <c r="T238" s="702"/>
      <c r="U238" s="702"/>
      <c r="V238" s="702"/>
      <c r="W238" s="702"/>
      <c r="X238" s="702"/>
      <c r="Y238" s="702"/>
      <c r="Z238" s="702"/>
      <c r="AA238" s="702"/>
      <c r="AB238" s="702"/>
      <c r="AC238" s="702"/>
      <c r="AD238" s="702"/>
    </row>
    <row r="239" spans="2:30" ht="15.75">
      <c r="B239" s="705"/>
      <c r="C239" s="705"/>
      <c r="D239" s="705"/>
      <c r="E239" s="705"/>
      <c r="F239" s="705"/>
      <c r="G239" s="705"/>
      <c r="H239" s="705"/>
      <c r="I239" s="705"/>
      <c r="J239" s="705"/>
      <c r="K239" s="705"/>
      <c r="L239" s="702"/>
      <c r="M239" s="702"/>
      <c r="N239" s="702"/>
      <c r="O239" s="702"/>
      <c r="P239" s="702"/>
      <c r="Q239" s="702"/>
      <c r="R239" s="702"/>
      <c r="S239" s="702"/>
      <c r="T239" s="702"/>
      <c r="U239" s="702"/>
      <c r="V239" s="702"/>
      <c r="W239" s="702"/>
      <c r="X239" s="702"/>
      <c r="Y239" s="702"/>
      <c r="Z239" s="702"/>
      <c r="AA239" s="702"/>
      <c r="AB239" s="702"/>
      <c r="AC239" s="702"/>
      <c r="AD239" s="702"/>
    </row>
    <row r="240" spans="2:30" ht="15.75">
      <c r="B240" s="705"/>
      <c r="C240" s="705"/>
      <c r="D240" s="705"/>
      <c r="E240" s="705"/>
      <c r="F240" s="705"/>
      <c r="G240" s="705"/>
      <c r="H240" s="705"/>
      <c r="I240" s="705"/>
      <c r="J240" s="705"/>
      <c r="K240" s="705"/>
      <c r="L240" s="702"/>
      <c r="M240" s="702"/>
      <c r="N240" s="702"/>
      <c r="O240" s="702"/>
      <c r="P240" s="702"/>
      <c r="Q240" s="702"/>
      <c r="R240" s="702"/>
      <c r="S240" s="702"/>
      <c r="T240" s="702"/>
      <c r="U240" s="702"/>
      <c r="V240" s="702"/>
      <c r="W240" s="702"/>
      <c r="X240" s="702"/>
      <c r="Y240" s="702"/>
      <c r="Z240" s="702"/>
      <c r="AA240" s="702"/>
      <c r="AB240" s="702"/>
      <c r="AC240" s="702"/>
      <c r="AD240" s="702"/>
    </row>
    <row r="241" spans="2:30" ht="15.75">
      <c r="B241" s="705"/>
      <c r="C241" s="705"/>
      <c r="D241" s="705"/>
      <c r="E241" s="705"/>
      <c r="F241" s="705"/>
      <c r="G241" s="705"/>
      <c r="H241" s="705"/>
      <c r="I241" s="705"/>
      <c r="J241" s="705"/>
      <c r="K241" s="705"/>
      <c r="L241" s="702"/>
      <c r="M241" s="702"/>
      <c r="N241" s="702"/>
      <c r="O241" s="702"/>
      <c r="P241" s="702"/>
      <c r="Q241" s="702"/>
      <c r="R241" s="702"/>
      <c r="S241" s="702"/>
      <c r="T241" s="702"/>
      <c r="U241" s="702"/>
      <c r="V241" s="702"/>
      <c r="W241" s="702"/>
      <c r="X241" s="702"/>
      <c r="Y241" s="702"/>
      <c r="Z241" s="702"/>
      <c r="AA241" s="702"/>
      <c r="AB241" s="702"/>
      <c r="AC241" s="702"/>
      <c r="AD241" s="702"/>
    </row>
    <row r="242" spans="2:30" ht="15.75">
      <c r="B242" s="705"/>
      <c r="C242" s="705"/>
      <c r="D242" s="705"/>
      <c r="E242" s="705"/>
      <c r="F242" s="705"/>
      <c r="G242" s="705"/>
      <c r="H242" s="705"/>
      <c r="I242" s="705"/>
      <c r="J242" s="705"/>
      <c r="K242" s="705"/>
      <c r="L242" s="702"/>
      <c r="M242" s="702"/>
      <c r="N242" s="702"/>
      <c r="O242" s="702"/>
      <c r="P242" s="702"/>
      <c r="Q242" s="702"/>
      <c r="R242" s="702"/>
      <c r="S242" s="702"/>
      <c r="T242" s="702"/>
      <c r="U242" s="702"/>
      <c r="V242" s="702"/>
      <c r="W242" s="702"/>
      <c r="X242" s="702"/>
      <c r="Y242" s="702"/>
      <c r="Z242" s="702"/>
      <c r="AA242" s="702"/>
      <c r="AB242" s="702"/>
      <c r="AC242" s="702"/>
      <c r="AD242" s="702"/>
    </row>
    <row r="243" spans="2:30" ht="15.75">
      <c r="B243" s="705"/>
      <c r="C243" s="705"/>
      <c r="D243" s="705"/>
      <c r="E243" s="705"/>
      <c r="F243" s="705"/>
      <c r="G243" s="705"/>
      <c r="H243" s="705"/>
      <c r="I243" s="705"/>
      <c r="J243" s="705"/>
      <c r="K243" s="705"/>
      <c r="L243" s="702"/>
      <c r="M243" s="702"/>
      <c r="N243" s="702"/>
      <c r="O243" s="702"/>
      <c r="P243" s="702"/>
      <c r="Q243" s="702"/>
      <c r="R243" s="702"/>
      <c r="S243" s="702"/>
      <c r="T243" s="702"/>
      <c r="U243" s="702"/>
      <c r="V243" s="702"/>
      <c r="W243" s="702"/>
      <c r="X243" s="702"/>
      <c r="Y243" s="702"/>
      <c r="Z243" s="702"/>
      <c r="AA243" s="702"/>
      <c r="AB243" s="702"/>
      <c r="AC243" s="702"/>
      <c r="AD243" s="702"/>
    </row>
    <row r="244" spans="2:30" ht="15.75">
      <c r="B244" s="705"/>
      <c r="C244" s="705"/>
      <c r="D244" s="705"/>
      <c r="E244" s="705"/>
      <c r="F244" s="705"/>
      <c r="G244" s="705"/>
      <c r="H244" s="705"/>
      <c r="I244" s="705"/>
      <c r="J244" s="705"/>
      <c r="K244" s="705"/>
      <c r="L244" s="702"/>
      <c r="M244" s="702"/>
      <c r="N244" s="702"/>
      <c r="O244" s="702"/>
      <c r="P244" s="702"/>
      <c r="Q244" s="702"/>
      <c r="R244" s="702"/>
      <c r="S244" s="702"/>
      <c r="T244" s="702"/>
      <c r="U244" s="702"/>
      <c r="V244" s="702"/>
      <c r="W244" s="702"/>
      <c r="X244" s="702"/>
      <c r="Y244" s="702"/>
      <c r="Z244" s="702"/>
      <c r="AA244" s="702"/>
      <c r="AB244" s="702"/>
      <c r="AC244" s="702"/>
      <c r="AD244" s="702"/>
    </row>
    <row r="245" spans="2:30" ht="15.75">
      <c r="B245" s="705"/>
      <c r="C245" s="705"/>
      <c r="D245" s="705"/>
      <c r="E245" s="705"/>
      <c r="F245" s="705"/>
      <c r="G245" s="705"/>
      <c r="H245" s="705"/>
      <c r="I245" s="705"/>
      <c r="J245" s="705"/>
      <c r="K245" s="705"/>
      <c r="L245" s="702"/>
      <c r="M245" s="702"/>
      <c r="N245" s="702"/>
      <c r="O245" s="702"/>
      <c r="P245" s="702"/>
      <c r="Q245" s="702"/>
      <c r="R245" s="702"/>
      <c r="S245" s="702"/>
      <c r="T245" s="702"/>
      <c r="U245" s="702"/>
      <c r="V245" s="702"/>
      <c r="W245" s="702"/>
      <c r="X245" s="702"/>
      <c r="Y245" s="702"/>
      <c r="Z245" s="702"/>
      <c r="AA245" s="702"/>
      <c r="AB245" s="702"/>
      <c r="AC245" s="702"/>
      <c r="AD245" s="702"/>
    </row>
    <row r="246" spans="2:30" ht="15.75">
      <c r="B246" s="705"/>
      <c r="C246" s="705"/>
      <c r="D246" s="705"/>
      <c r="E246" s="705"/>
      <c r="F246" s="705"/>
      <c r="G246" s="705"/>
      <c r="H246" s="705"/>
      <c r="I246" s="705"/>
      <c r="J246" s="705"/>
      <c r="K246" s="705"/>
      <c r="L246" s="702"/>
      <c r="M246" s="702"/>
      <c r="N246" s="702"/>
      <c r="O246" s="702"/>
      <c r="P246" s="702"/>
      <c r="Q246" s="702"/>
      <c r="R246" s="702"/>
      <c r="S246" s="702"/>
      <c r="T246" s="702"/>
      <c r="U246" s="702"/>
      <c r="V246" s="702"/>
      <c r="W246" s="702"/>
      <c r="X246" s="702"/>
      <c r="Y246" s="702"/>
      <c r="Z246" s="702"/>
      <c r="AA246" s="702"/>
      <c r="AB246" s="702"/>
      <c r="AC246" s="702"/>
      <c r="AD246" s="702"/>
    </row>
    <row r="247" spans="2:30" ht="15.75">
      <c r="B247" s="705"/>
      <c r="C247" s="705"/>
      <c r="D247" s="705"/>
      <c r="E247" s="705"/>
      <c r="F247" s="705"/>
      <c r="G247" s="705"/>
      <c r="H247" s="705"/>
      <c r="I247" s="705"/>
      <c r="J247" s="705"/>
      <c r="K247" s="705"/>
      <c r="L247" s="702"/>
      <c r="M247" s="702"/>
      <c r="N247" s="702"/>
      <c r="O247" s="702"/>
      <c r="P247" s="702"/>
      <c r="Q247" s="702"/>
      <c r="R247" s="702"/>
      <c r="S247" s="702"/>
      <c r="T247" s="702"/>
      <c r="U247" s="702"/>
      <c r="V247" s="702"/>
      <c r="W247" s="702"/>
      <c r="X247" s="702"/>
      <c r="Y247" s="702"/>
      <c r="Z247" s="702"/>
      <c r="AA247" s="702"/>
      <c r="AB247" s="702"/>
      <c r="AC247" s="702"/>
      <c r="AD247" s="702"/>
    </row>
    <row r="248" spans="2:30" ht="15.75">
      <c r="B248" s="705"/>
      <c r="C248" s="705"/>
      <c r="D248" s="705"/>
      <c r="E248" s="705"/>
      <c r="F248" s="705"/>
      <c r="G248" s="705"/>
      <c r="H248" s="705"/>
      <c r="I248" s="705"/>
      <c r="J248" s="705"/>
      <c r="K248" s="705"/>
      <c r="L248" s="702"/>
      <c r="M248" s="702"/>
      <c r="N248" s="702"/>
      <c r="O248" s="702"/>
      <c r="P248" s="702"/>
      <c r="Q248" s="702"/>
      <c r="R248" s="702"/>
      <c r="S248" s="702"/>
      <c r="T248" s="702"/>
      <c r="U248" s="702"/>
      <c r="V248" s="702"/>
      <c r="W248" s="702"/>
      <c r="X248" s="702"/>
      <c r="Y248" s="702"/>
      <c r="Z248" s="702"/>
      <c r="AA248" s="702"/>
      <c r="AB248" s="702"/>
      <c r="AC248" s="702"/>
      <c r="AD248" s="702"/>
    </row>
    <row r="249" spans="2:30" ht="15.75">
      <c r="B249" s="705"/>
      <c r="C249" s="705"/>
      <c r="D249" s="705"/>
      <c r="E249" s="705"/>
      <c r="F249" s="705"/>
      <c r="G249" s="705"/>
      <c r="H249" s="705"/>
      <c r="I249" s="705"/>
      <c r="J249" s="705"/>
      <c r="K249" s="705"/>
      <c r="L249" s="702"/>
      <c r="M249" s="702"/>
      <c r="N249" s="702"/>
      <c r="O249" s="702"/>
      <c r="P249" s="702"/>
      <c r="Q249" s="702"/>
      <c r="R249" s="702"/>
      <c r="S249" s="702"/>
      <c r="T249" s="702"/>
      <c r="U249" s="702"/>
      <c r="V249" s="702"/>
      <c r="W249" s="702"/>
      <c r="X249" s="702"/>
      <c r="Y249" s="702"/>
      <c r="Z249" s="702"/>
      <c r="AA249" s="702"/>
      <c r="AB249" s="702"/>
      <c r="AC249" s="702"/>
      <c r="AD249" s="702"/>
    </row>
    <row r="250" spans="2:30" ht="15.75">
      <c r="B250" s="705"/>
      <c r="C250" s="705"/>
      <c r="D250" s="705"/>
      <c r="E250" s="705"/>
      <c r="F250" s="705"/>
      <c r="G250" s="705"/>
      <c r="H250" s="705"/>
      <c r="I250" s="705"/>
      <c r="J250" s="705"/>
      <c r="K250" s="705"/>
      <c r="L250" s="702"/>
      <c r="M250" s="702"/>
      <c r="N250" s="702"/>
      <c r="O250" s="702"/>
      <c r="P250" s="702"/>
      <c r="Q250" s="702"/>
      <c r="R250" s="702"/>
      <c r="S250" s="702"/>
      <c r="T250" s="702"/>
      <c r="U250" s="702"/>
      <c r="V250" s="702"/>
      <c r="W250" s="702"/>
      <c r="X250" s="702"/>
      <c r="Y250" s="702"/>
      <c r="Z250" s="702"/>
      <c r="AA250" s="702"/>
      <c r="AB250" s="702"/>
      <c r="AC250" s="702"/>
      <c r="AD250" s="702"/>
    </row>
    <row r="251" spans="2:30" ht="15.75">
      <c r="B251" s="705"/>
      <c r="C251" s="705"/>
      <c r="D251" s="705"/>
      <c r="E251" s="705"/>
      <c r="F251" s="705"/>
      <c r="G251" s="705"/>
      <c r="H251" s="705"/>
      <c r="I251" s="705"/>
      <c r="J251" s="705"/>
      <c r="K251" s="705"/>
      <c r="L251" s="702"/>
      <c r="M251" s="702"/>
      <c r="N251" s="702"/>
      <c r="O251" s="702"/>
      <c r="P251" s="702"/>
      <c r="Q251" s="702"/>
      <c r="R251" s="702"/>
      <c r="S251" s="702"/>
      <c r="T251" s="702"/>
      <c r="U251" s="702"/>
      <c r="V251" s="702"/>
      <c r="W251" s="702"/>
      <c r="X251" s="702"/>
      <c r="Y251" s="702"/>
      <c r="Z251" s="702"/>
      <c r="AA251" s="702"/>
      <c r="AB251" s="702"/>
      <c r="AC251" s="702"/>
      <c r="AD251" s="702"/>
    </row>
    <row r="252" spans="2:30" ht="15.75">
      <c r="B252" s="705"/>
      <c r="C252" s="705"/>
      <c r="D252" s="705"/>
      <c r="E252" s="705"/>
      <c r="F252" s="705"/>
      <c r="G252" s="705"/>
      <c r="H252" s="705"/>
      <c r="I252" s="705"/>
      <c r="J252" s="705"/>
      <c r="K252" s="705"/>
      <c r="L252" s="702"/>
      <c r="M252" s="702"/>
      <c r="N252" s="702"/>
      <c r="O252" s="702"/>
      <c r="P252" s="702"/>
      <c r="Q252" s="702"/>
      <c r="R252" s="702"/>
      <c r="S252" s="702"/>
      <c r="T252" s="702"/>
      <c r="U252" s="702"/>
      <c r="V252" s="702"/>
      <c r="W252" s="702"/>
      <c r="X252" s="702"/>
      <c r="Y252" s="702"/>
      <c r="Z252" s="702"/>
      <c r="AA252" s="702"/>
      <c r="AB252" s="702"/>
      <c r="AC252" s="702"/>
      <c r="AD252" s="702"/>
    </row>
    <row r="253" spans="2:30" ht="15.75">
      <c r="B253" s="705"/>
      <c r="C253" s="705"/>
      <c r="D253" s="705"/>
      <c r="E253" s="705"/>
      <c r="F253" s="705"/>
      <c r="G253" s="705"/>
      <c r="H253" s="705"/>
      <c r="I253" s="705"/>
      <c r="J253" s="705"/>
      <c r="K253" s="705"/>
      <c r="L253" s="702"/>
      <c r="M253" s="702"/>
      <c r="N253" s="702"/>
      <c r="O253" s="702"/>
      <c r="P253" s="702"/>
      <c r="Q253" s="702"/>
      <c r="R253" s="702"/>
      <c r="S253" s="702"/>
      <c r="T253" s="702"/>
      <c r="U253" s="702"/>
      <c r="V253" s="702"/>
      <c r="W253" s="702"/>
      <c r="X253" s="702"/>
      <c r="Y253" s="702"/>
      <c r="Z253" s="702"/>
      <c r="AA253" s="702"/>
      <c r="AB253" s="702"/>
      <c r="AC253" s="702"/>
      <c r="AD253" s="702"/>
    </row>
    <row r="254" spans="2:30" ht="15.75">
      <c r="B254" s="705"/>
      <c r="C254" s="705"/>
      <c r="D254" s="705"/>
      <c r="E254" s="705"/>
      <c r="F254" s="705"/>
      <c r="G254" s="705"/>
      <c r="H254" s="705"/>
      <c r="I254" s="705"/>
      <c r="J254" s="705"/>
      <c r="K254" s="705"/>
      <c r="L254" s="702"/>
      <c r="M254" s="702"/>
      <c r="N254" s="702"/>
      <c r="O254" s="702"/>
      <c r="P254" s="702"/>
      <c r="Q254" s="702"/>
      <c r="R254" s="702"/>
      <c r="S254" s="702"/>
      <c r="T254" s="702"/>
      <c r="U254" s="702"/>
      <c r="V254" s="702"/>
      <c r="W254" s="702"/>
      <c r="X254" s="702"/>
      <c r="Y254" s="702"/>
      <c r="Z254" s="702"/>
      <c r="AA254" s="702"/>
      <c r="AB254" s="702"/>
      <c r="AC254" s="702"/>
      <c r="AD254" s="702"/>
    </row>
    <row r="255" spans="2:30" ht="15.75">
      <c r="B255" s="705"/>
      <c r="C255" s="705"/>
      <c r="D255" s="705"/>
      <c r="E255" s="705"/>
      <c r="F255" s="705"/>
      <c r="G255" s="705"/>
      <c r="H255" s="705"/>
      <c r="I255" s="705"/>
      <c r="J255" s="705"/>
      <c r="K255" s="705"/>
      <c r="L255" s="702"/>
      <c r="M255" s="702"/>
      <c r="N255" s="702"/>
      <c r="O255" s="702"/>
      <c r="P255" s="702"/>
      <c r="Q255" s="702"/>
      <c r="R255" s="702"/>
      <c r="S255" s="702"/>
      <c r="T255" s="702"/>
      <c r="U255" s="702"/>
      <c r="V255" s="702"/>
      <c r="W255" s="702"/>
      <c r="X255" s="702"/>
      <c r="Y255" s="702"/>
      <c r="Z255" s="702"/>
      <c r="AA255" s="702"/>
      <c r="AB255" s="702"/>
      <c r="AC255" s="702"/>
      <c r="AD255" s="702"/>
    </row>
    <row r="256" spans="2:30" ht="15.75">
      <c r="B256" s="705"/>
      <c r="C256" s="705"/>
      <c r="D256" s="705"/>
      <c r="E256" s="705"/>
      <c r="F256" s="705"/>
      <c r="G256" s="705"/>
      <c r="H256" s="705"/>
      <c r="I256" s="705"/>
      <c r="J256" s="705"/>
      <c r="K256" s="705"/>
      <c r="L256" s="702"/>
      <c r="M256" s="702"/>
      <c r="N256" s="702"/>
      <c r="O256" s="702"/>
      <c r="P256" s="702"/>
      <c r="Q256" s="702"/>
      <c r="R256" s="702"/>
      <c r="S256" s="702"/>
      <c r="T256" s="702"/>
      <c r="U256" s="702"/>
      <c r="V256" s="702"/>
      <c r="W256" s="702"/>
      <c r="X256" s="702"/>
      <c r="Y256" s="702"/>
      <c r="Z256" s="702"/>
      <c r="AA256" s="702"/>
      <c r="AB256" s="702"/>
      <c r="AC256" s="702"/>
      <c r="AD256" s="702"/>
    </row>
    <row r="257" spans="2:30" ht="15.75">
      <c r="B257" s="705"/>
      <c r="C257" s="705"/>
      <c r="D257" s="705"/>
      <c r="E257" s="705"/>
      <c r="F257" s="705"/>
      <c r="G257" s="705"/>
      <c r="H257" s="705"/>
      <c r="I257" s="705"/>
      <c r="J257" s="705"/>
      <c r="K257" s="705"/>
      <c r="L257" s="702"/>
      <c r="M257" s="702"/>
      <c r="N257" s="702"/>
      <c r="O257" s="702"/>
      <c r="P257" s="702"/>
      <c r="Q257" s="702"/>
      <c r="R257" s="702"/>
      <c r="S257" s="702"/>
      <c r="T257" s="702"/>
      <c r="U257" s="702"/>
      <c r="V257" s="702"/>
      <c r="W257" s="702"/>
      <c r="X257" s="702"/>
      <c r="Y257" s="702"/>
      <c r="Z257" s="702"/>
      <c r="AA257" s="702"/>
      <c r="AB257" s="702"/>
      <c r="AC257" s="702"/>
      <c r="AD257" s="702"/>
    </row>
    <row r="258" spans="2:30" ht="15.75">
      <c r="B258" s="705"/>
      <c r="C258" s="705"/>
      <c r="D258" s="705"/>
      <c r="E258" s="705"/>
      <c r="F258" s="705"/>
      <c r="G258" s="705"/>
      <c r="H258" s="705"/>
      <c r="I258" s="705"/>
      <c r="J258" s="705"/>
      <c r="K258" s="705"/>
      <c r="L258" s="702"/>
      <c r="M258" s="702"/>
      <c r="N258" s="702"/>
      <c r="O258" s="702"/>
      <c r="P258" s="702"/>
      <c r="Q258" s="702"/>
      <c r="R258" s="702"/>
      <c r="S258" s="702"/>
      <c r="T258" s="702"/>
      <c r="U258" s="702"/>
      <c r="V258" s="702"/>
      <c r="W258" s="702"/>
      <c r="X258" s="702"/>
      <c r="Y258" s="702"/>
      <c r="Z258" s="702"/>
      <c r="AA258" s="702"/>
      <c r="AB258" s="702"/>
      <c r="AC258" s="702"/>
      <c r="AD258" s="702"/>
    </row>
    <row r="259" spans="2:30">
      <c r="B259" s="702"/>
      <c r="C259" s="701"/>
      <c r="D259" s="702"/>
      <c r="E259" s="702"/>
      <c r="F259" s="702"/>
      <c r="G259" s="702"/>
      <c r="H259" s="702"/>
      <c r="I259" s="702"/>
      <c r="J259" s="702"/>
      <c r="K259" s="702"/>
      <c r="L259" s="702"/>
      <c r="M259" s="702"/>
      <c r="N259" s="702"/>
      <c r="O259" s="702"/>
      <c r="P259" s="702"/>
      <c r="Q259" s="702"/>
      <c r="R259" s="702"/>
      <c r="S259" s="702"/>
      <c r="T259" s="702"/>
      <c r="U259" s="702"/>
      <c r="V259" s="702"/>
      <c r="W259" s="702"/>
      <c r="X259" s="702"/>
      <c r="Y259" s="702"/>
      <c r="Z259" s="702"/>
      <c r="AA259" s="702"/>
      <c r="AB259" s="702"/>
      <c r="AC259" s="702"/>
      <c r="AD259" s="702"/>
    </row>
    <row r="260" spans="2:30">
      <c r="B260" s="702"/>
      <c r="C260" s="701"/>
      <c r="D260" s="702"/>
      <c r="E260" s="702"/>
      <c r="F260" s="702"/>
      <c r="G260" s="702"/>
      <c r="H260" s="702"/>
      <c r="I260" s="702"/>
      <c r="J260" s="702"/>
      <c r="K260" s="702"/>
      <c r="L260" s="702"/>
      <c r="M260" s="702"/>
      <c r="N260" s="702"/>
      <c r="O260" s="702"/>
      <c r="P260" s="702"/>
      <c r="Q260" s="702"/>
      <c r="R260" s="702"/>
      <c r="S260" s="702"/>
      <c r="T260" s="702"/>
      <c r="U260" s="702"/>
      <c r="V260" s="702"/>
      <c r="W260" s="702"/>
      <c r="X260" s="702"/>
      <c r="Y260" s="702"/>
      <c r="Z260" s="702"/>
      <c r="AA260" s="702"/>
      <c r="AB260" s="702"/>
      <c r="AC260" s="702"/>
      <c r="AD260" s="702"/>
    </row>
    <row r="261" spans="2:30">
      <c r="B261" s="702"/>
      <c r="C261" s="701"/>
      <c r="D261" s="702"/>
      <c r="E261" s="702"/>
      <c r="F261" s="702"/>
      <c r="G261" s="702"/>
      <c r="H261" s="702"/>
      <c r="I261" s="702"/>
      <c r="J261" s="702"/>
      <c r="K261" s="702"/>
      <c r="L261" s="702"/>
      <c r="M261" s="702"/>
      <c r="N261" s="702"/>
      <c r="O261" s="702"/>
      <c r="P261" s="702"/>
      <c r="Q261" s="702"/>
      <c r="R261" s="702"/>
      <c r="S261" s="702"/>
      <c r="T261" s="702"/>
      <c r="U261" s="702"/>
      <c r="V261" s="702"/>
      <c r="W261" s="702"/>
      <c r="X261" s="702"/>
      <c r="Y261" s="702"/>
      <c r="Z261" s="702"/>
      <c r="AA261" s="702"/>
      <c r="AB261" s="702"/>
      <c r="AC261" s="702"/>
      <c r="AD261" s="702"/>
    </row>
    <row r="262" spans="2:30">
      <c r="B262" s="702"/>
      <c r="C262" s="701"/>
      <c r="D262" s="702"/>
      <c r="E262" s="702"/>
      <c r="F262" s="702"/>
      <c r="G262" s="702"/>
      <c r="H262" s="702"/>
      <c r="I262" s="702"/>
      <c r="J262" s="702"/>
      <c r="K262" s="702"/>
      <c r="L262" s="702"/>
      <c r="M262" s="702"/>
      <c r="N262" s="702"/>
      <c r="O262" s="702"/>
      <c r="P262" s="702"/>
      <c r="Q262" s="702"/>
      <c r="R262" s="702"/>
      <c r="S262" s="702"/>
      <c r="T262" s="702"/>
      <c r="U262" s="702"/>
      <c r="V262" s="702"/>
      <c r="W262" s="702"/>
      <c r="X262" s="702"/>
      <c r="Y262" s="702"/>
      <c r="Z262" s="702"/>
      <c r="AA262" s="702"/>
      <c r="AB262" s="702"/>
      <c r="AC262" s="702"/>
      <c r="AD262" s="702"/>
    </row>
    <row r="263" spans="2:30">
      <c r="B263" s="702"/>
      <c r="C263" s="701"/>
      <c r="D263" s="702"/>
      <c r="E263" s="702"/>
      <c r="F263" s="702"/>
      <c r="G263" s="702"/>
      <c r="H263" s="702"/>
      <c r="I263" s="702"/>
      <c r="J263" s="702"/>
      <c r="K263" s="702"/>
      <c r="L263" s="702"/>
      <c r="M263" s="702"/>
      <c r="N263" s="702"/>
      <c r="O263" s="702"/>
      <c r="P263" s="702"/>
      <c r="Q263" s="702"/>
      <c r="R263" s="702"/>
      <c r="S263" s="702"/>
      <c r="T263" s="702"/>
      <c r="U263" s="702"/>
      <c r="V263" s="702"/>
      <c r="W263" s="702"/>
      <c r="X263" s="702"/>
      <c r="Y263" s="702"/>
      <c r="Z263" s="702"/>
      <c r="AA263" s="702"/>
      <c r="AB263" s="702"/>
      <c r="AC263" s="702"/>
      <c r="AD263" s="702"/>
    </row>
    <row r="264" spans="2:30">
      <c r="B264" s="702"/>
      <c r="C264" s="701"/>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702"/>
      <c r="AD264" s="702"/>
    </row>
    <row r="265" spans="2:30">
      <c r="B265" s="702"/>
      <c r="C265" s="701"/>
      <c r="D265" s="702"/>
      <c r="E265" s="702"/>
      <c r="F265" s="702"/>
      <c r="G265" s="702"/>
      <c r="H265" s="702"/>
      <c r="I265" s="702"/>
      <c r="J265" s="702"/>
      <c r="K265" s="702"/>
      <c r="L265" s="702"/>
      <c r="M265" s="702"/>
      <c r="N265" s="702"/>
      <c r="O265" s="702"/>
      <c r="P265" s="702"/>
      <c r="Q265" s="702"/>
      <c r="R265" s="702"/>
      <c r="S265" s="702"/>
      <c r="T265" s="702"/>
      <c r="U265" s="702"/>
      <c r="V265" s="702"/>
      <c r="W265" s="702"/>
      <c r="X265" s="702"/>
      <c r="Y265" s="702"/>
      <c r="Z265" s="702"/>
      <c r="AA265" s="702"/>
      <c r="AB265" s="702"/>
      <c r="AC265" s="702"/>
      <c r="AD265" s="702"/>
    </row>
    <row r="266" spans="2:30">
      <c r="B266" s="702"/>
      <c r="C266" s="701"/>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row>
    <row r="267" spans="2:30">
      <c r="B267" s="702"/>
      <c r="C267" s="701"/>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row>
    <row r="268" spans="2:30">
      <c r="B268" s="702"/>
      <c r="C268" s="701"/>
      <c r="D268" s="702"/>
      <c r="E268" s="702"/>
      <c r="F268" s="702"/>
      <c r="G268" s="702"/>
      <c r="H268" s="702"/>
      <c r="I268" s="702"/>
      <c r="J268" s="702"/>
      <c r="K268" s="702"/>
      <c r="L268" s="702"/>
      <c r="M268" s="702"/>
      <c r="N268" s="702"/>
      <c r="O268" s="702"/>
      <c r="P268" s="702"/>
      <c r="Q268" s="702"/>
      <c r="R268" s="702"/>
      <c r="S268" s="702"/>
      <c r="T268" s="702"/>
      <c r="U268" s="702"/>
      <c r="V268" s="702"/>
      <c r="W268" s="702"/>
      <c r="X268" s="702"/>
      <c r="Y268" s="702"/>
      <c r="Z268" s="702"/>
      <c r="AA268" s="702"/>
      <c r="AB268" s="702"/>
      <c r="AC268" s="702"/>
      <c r="AD268" s="702"/>
    </row>
    <row r="269" spans="2:30">
      <c r="B269" s="702"/>
      <c r="C269" s="701"/>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2"/>
      <c r="AB269" s="702"/>
      <c r="AC269" s="702"/>
      <c r="AD269" s="702"/>
    </row>
    <row r="270" spans="2:30">
      <c r="B270" s="702"/>
      <c r="C270" s="701"/>
      <c r="D270" s="702"/>
      <c r="E270" s="702"/>
      <c r="F270" s="702"/>
      <c r="G270" s="702"/>
      <c r="H270" s="702"/>
      <c r="I270" s="702"/>
      <c r="J270" s="702"/>
      <c r="K270" s="702"/>
      <c r="L270" s="702"/>
      <c r="M270" s="702"/>
      <c r="N270" s="702"/>
      <c r="O270" s="702"/>
      <c r="P270" s="702"/>
      <c r="Q270" s="702"/>
      <c r="R270" s="702"/>
      <c r="S270" s="702"/>
      <c r="T270" s="702"/>
      <c r="U270" s="702"/>
      <c r="V270" s="702"/>
      <c r="W270" s="702"/>
      <c r="X270" s="702"/>
      <c r="Y270" s="702"/>
      <c r="Z270" s="702"/>
      <c r="AA270" s="702"/>
      <c r="AB270" s="702"/>
      <c r="AC270" s="702"/>
      <c r="AD270" s="702"/>
    </row>
    <row r="271" spans="2:30">
      <c r="B271" s="702"/>
      <c r="C271" s="701"/>
      <c r="D271" s="702"/>
      <c r="E271" s="702"/>
      <c r="F271" s="702"/>
      <c r="G271" s="702"/>
      <c r="H271" s="702"/>
      <c r="I271" s="702"/>
      <c r="J271" s="702"/>
      <c r="K271" s="702"/>
      <c r="L271" s="702"/>
      <c r="M271" s="702"/>
      <c r="N271" s="702"/>
      <c r="O271" s="702"/>
      <c r="P271" s="702"/>
      <c r="Q271" s="702"/>
      <c r="R271" s="702"/>
      <c r="S271" s="702"/>
      <c r="T271" s="702"/>
      <c r="U271" s="702"/>
      <c r="V271" s="702"/>
      <c r="W271" s="702"/>
      <c r="X271" s="702"/>
      <c r="Y271" s="702"/>
      <c r="Z271" s="702"/>
      <c r="AA271" s="702"/>
      <c r="AB271" s="702"/>
      <c r="AC271" s="702"/>
      <c r="AD271" s="702"/>
    </row>
    <row r="272" spans="2:30">
      <c r="B272" s="702"/>
      <c r="C272" s="701"/>
      <c r="D272" s="702"/>
      <c r="E272" s="702"/>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row>
    <row r="273" spans="2:30">
      <c r="B273" s="702"/>
      <c r="C273" s="701"/>
      <c r="D273" s="702"/>
      <c r="E273" s="702"/>
      <c r="F273" s="702"/>
      <c r="G273" s="702"/>
      <c r="H273" s="702"/>
      <c r="I273" s="702"/>
      <c r="J273" s="702"/>
      <c r="K273" s="702"/>
      <c r="L273" s="702"/>
      <c r="M273" s="702"/>
      <c r="N273" s="702"/>
      <c r="O273" s="702"/>
      <c r="P273" s="702"/>
      <c r="Q273" s="702"/>
      <c r="R273" s="702"/>
      <c r="S273" s="702"/>
      <c r="T273" s="702"/>
      <c r="U273" s="702"/>
      <c r="V273" s="702"/>
      <c r="W273" s="702"/>
      <c r="X273" s="702"/>
      <c r="Y273" s="702"/>
      <c r="Z273" s="702"/>
      <c r="AA273" s="702"/>
      <c r="AB273" s="702"/>
      <c r="AC273" s="702"/>
      <c r="AD273" s="702"/>
    </row>
    <row r="274" spans="2:30">
      <c r="B274" s="702"/>
      <c r="C274" s="701"/>
      <c r="D274" s="702"/>
      <c r="E274" s="702"/>
      <c r="F274" s="702"/>
      <c r="G274" s="702"/>
      <c r="H274" s="702"/>
      <c r="I274" s="702"/>
      <c r="J274" s="702"/>
      <c r="K274" s="702"/>
      <c r="L274" s="702"/>
      <c r="M274" s="702"/>
      <c r="N274" s="702"/>
      <c r="O274" s="702"/>
      <c r="P274" s="702"/>
      <c r="Q274" s="702"/>
      <c r="R274" s="702"/>
      <c r="S274" s="702"/>
      <c r="T274" s="702"/>
      <c r="U274" s="702"/>
      <c r="V274" s="702"/>
      <c r="W274" s="702"/>
      <c r="X274" s="702"/>
      <c r="Y274" s="702"/>
      <c r="Z274" s="702"/>
      <c r="AA274" s="702"/>
      <c r="AB274" s="702"/>
      <c r="AC274" s="702"/>
      <c r="AD274" s="702"/>
    </row>
    <row r="275" spans="2:30">
      <c r="B275" s="702"/>
      <c r="C275" s="701"/>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row>
    <row r="276" spans="2:30">
      <c r="B276" s="702"/>
      <c r="C276" s="701"/>
      <c r="D276" s="702"/>
      <c r="E276" s="702"/>
      <c r="F276" s="702"/>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702"/>
      <c r="AD276" s="702"/>
    </row>
    <row r="277" spans="2:30">
      <c r="B277" s="702"/>
      <c r="C277" s="701"/>
      <c r="D277" s="702"/>
      <c r="E277" s="702"/>
      <c r="F277" s="702"/>
      <c r="G277" s="702"/>
      <c r="H277" s="702"/>
      <c r="I277" s="702"/>
      <c r="J277" s="702"/>
      <c r="K277" s="702"/>
      <c r="L277" s="702"/>
      <c r="M277" s="702"/>
      <c r="N277" s="702"/>
      <c r="O277" s="702"/>
      <c r="P277" s="702"/>
      <c r="Q277" s="702"/>
      <c r="R277" s="702"/>
      <c r="S277" s="702"/>
      <c r="T277" s="702"/>
      <c r="U277" s="702"/>
      <c r="V277" s="702"/>
      <c r="W277" s="702"/>
      <c r="X277" s="702"/>
      <c r="Y277" s="702"/>
      <c r="Z277" s="702"/>
      <c r="AA277" s="702"/>
      <c r="AB277" s="702"/>
      <c r="AC277" s="702"/>
      <c r="AD277" s="702"/>
    </row>
    <row r="278" spans="2:30">
      <c r="B278" s="702"/>
      <c r="C278" s="701"/>
      <c r="D278" s="702"/>
      <c r="E278" s="702"/>
      <c r="F278" s="702"/>
      <c r="G278" s="702"/>
      <c r="H278" s="702"/>
      <c r="I278" s="702"/>
      <c r="J278" s="702"/>
      <c r="K278" s="702"/>
      <c r="L278" s="702"/>
      <c r="M278" s="702"/>
      <c r="N278" s="702"/>
      <c r="O278" s="702"/>
      <c r="P278" s="702"/>
      <c r="Q278" s="702"/>
      <c r="R278" s="702"/>
      <c r="S278" s="702"/>
      <c r="T278" s="702"/>
      <c r="U278" s="702"/>
      <c r="V278" s="702"/>
      <c r="W278" s="702"/>
      <c r="X278" s="702"/>
      <c r="Y278" s="702"/>
      <c r="Z278" s="702"/>
      <c r="AA278" s="702"/>
      <c r="AB278" s="702"/>
      <c r="AC278" s="702"/>
      <c r="AD278" s="702"/>
    </row>
    <row r="279" spans="2:30">
      <c r="B279" s="702"/>
      <c r="C279" s="701"/>
      <c r="D279" s="702"/>
      <c r="E279" s="702"/>
      <c r="F279" s="702"/>
      <c r="G279" s="702"/>
      <c r="H279" s="702"/>
      <c r="I279" s="702"/>
      <c r="J279" s="702"/>
      <c r="K279" s="702"/>
      <c r="L279" s="702"/>
      <c r="M279" s="702"/>
      <c r="N279" s="702"/>
      <c r="O279" s="702"/>
      <c r="P279" s="702"/>
      <c r="Q279" s="702"/>
      <c r="R279" s="702"/>
      <c r="S279" s="702"/>
      <c r="T279" s="702"/>
      <c r="U279" s="702"/>
      <c r="V279" s="702"/>
      <c r="W279" s="702"/>
      <c r="X279" s="702"/>
      <c r="Y279" s="702"/>
      <c r="Z279" s="702"/>
      <c r="AA279" s="702"/>
      <c r="AB279" s="702"/>
      <c r="AC279" s="702"/>
      <c r="AD279" s="702"/>
    </row>
    <row r="280" spans="2:30">
      <c r="B280" s="702"/>
      <c r="C280" s="701"/>
      <c r="D280" s="702"/>
      <c r="E280" s="702"/>
      <c r="F280" s="702"/>
      <c r="G280" s="702"/>
      <c r="H280" s="702"/>
      <c r="I280" s="702"/>
      <c r="J280" s="702"/>
      <c r="K280" s="702"/>
      <c r="L280" s="702"/>
      <c r="M280" s="702"/>
      <c r="N280" s="702"/>
      <c r="O280" s="702"/>
      <c r="P280" s="702"/>
      <c r="Q280" s="702"/>
      <c r="R280" s="702"/>
      <c r="S280" s="702"/>
      <c r="T280" s="702"/>
      <c r="U280" s="702"/>
      <c r="V280" s="702"/>
      <c r="W280" s="702"/>
      <c r="X280" s="702"/>
      <c r="Y280" s="702"/>
      <c r="Z280" s="702"/>
      <c r="AA280" s="702"/>
      <c r="AB280" s="702"/>
      <c r="AC280" s="702"/>
      <c r="AD280" s="702"/>
    </row>
    <row r="281" spans="2:30">
      <c r="B281" s="702"/>
      <c r="C281" s="701"/>
      <c r="D281" s="702"/>
      <c r="E281" s="702"/>
      <c r="F281" s="702"/>
      <c r="G281" s="702"/>
      <c r="H281" s="702"/>
      <c r="I281" s="702"/>
      <c r="J281" s="702"/>
      <c r="K281" s="702"/>
      <c r="L281" s="702"/>
      <c r="M281" s="702"/>
      <c r="N281" s="702"/>
      <c r="O281" s="702"/>
      <c r="P281" s="702"/>
      <c r="Q281" s="702"/>
      <c r="R281" s="702"/>
      <c r="S281" s="702"/>
      <c r="T281" s="702"/>
      <c r="U281" s="702"/>
      <c r="V281" s="702"/>
      <c r="W281" s="702"/>
      <c r="X281" s="702"/>
      <c r="Y281" s="702"/>
      <c r="Z281" s="702"/>
      <c r="AA281" s="702"/>
      <c r="AB281" s="702"/>
      <c r="AC281" s="702"/>
      <c r="AD281" s="702"/>
    </row>
    <row r="282" spans="2:30">
      <c r="B282" s="702"/>
      <c r="C282" s="701"/>
      <c r="D282" s="702"/>
      <c r="E282" s="702"/>
      <c r="F282" s="702"/>
      <c r="G282" s="702"/>
      <c r="H282" s="702"/>
      <c r="I282" s="702"/>
      <c r="J282" s="702"/>
      <c r="K282" s="702"/>
      <c r="L282" s="702"/>
      <c r="M282" s="702"/>
      <c r="N282" s="702"/>
      <c r="O282" s="702"/>
      <c r="P282" s="702"/>
      <c r="Q282" s="702"/>
      <c r="R282" s="702"/>
      <c r="S282" s="702"/>
      <c r="T282" s="702"/>
      <c r="U282" s="702"/>
      <c r="V282" s="702"/>
      <c r="W282" s="702"/>
      <c r="X282" s="702"/>
      <c r="Y282" s="702"/>
      <c r="Z282" s="702"/>
      <c r="AA282" s="702"/>
      <c r="AB282" s="702"/>
      <c r="AC282" s="702"/>
      <c r="AD282" s="702"/>
    </row>
  </sheetData>
  <sheetProtection algorithmName="SHA-512" hashValue="xb5Oxq1tfywfVEcdlPLc9r/hkuqaLzGEmK7cM5pJmxWKCiijZ3+T8dl5BE86boNwYmPJFZetF3iyTAaZvkzpDQ==" saltValue="m+i2xTOYstO3qnFzMufBHg==" spinCount="100000" sheet="1" objects="1" scenarios="1"/>
  <mergeCells count="1">
    <mergeCell ref="C13:C14"/>
  </mergeCells>
  <pageMargins left="0.70866141732283472" right="0.70866141732283472" top="0.74803149606299213" bottom="0.74803149606299213" header="0.31496062992125984" footer="0.31496062992125984"/>
  <pageSetup paperSize="9" scale="67"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FF00"/>
    <pageSetUpPr fitToPage="1"/>
  </sheetPr>
  <dimension ref="A1:X167"/>
  <sheetViews>
    <sheetView view="pageBreakPreview" zoomScaleNormal="100" zoomScaleSheetLayoutView="100" workbookViewId="0">
      <selection activeCell="B121" sqref="B121"/>
    </sheetView>
  </sheetViews>
  <sheetFormatPr baseColWidth="10" defaultRowHeight="16.5"/>
  <cols>
    <col min="1" max="1" width="6.28515625" style="133" bestFit="1" customWidth="1"/>
    <col min="2" max="4" width="11.42578125" style="498"/>
    <col min="5" max="5" width="12.42578125" style="133" bestFit="1" customWidth="1"/>
    <col min="6" max="6" width="11.42578125" style="133" customWidth="1"/>
    <col min="7" max="7" width="11.42578125" style="498"/>
    <col min="8" max="8" width="14.140625" style="498" bestFit="1" customWidth="1"/>
    <col min="9" max="9" width="5.7109375" style="133" customWidth="1"/>
    <col min="10" max="10" width="12.28515625" style="498" bestFit="1" customWidth="1"/>
    <col min="11" max="11" width="13.7109375" style="498" bestFit="1" customWidth="1"/>
    <col min="12" max="12" width="12.28515625" style="498" bestFit="1" customWidth="1"/>
    <col min="13" max="13" width="12.42578125" style="498" bestFit="1" customWidth="1"/>
    <col min="14" max="15" width="11.42578125" style="498"/>
    <col min="16" max="16" width="14.7109375" style="498" customWidth="1"/>
    <col min="17" max="17" width="5.7109375" style="498" customWidth="1"/>
    <col min="18" max="23" width="12.42578125" style="498" customWidth="1"/>
    <col min="24" max="24" width="15.140625" style="498" bestFit="1" customWidth="1"/>
    <col min="25" max="25" width="5.7109375" style="133" customWidth="1"/>
    <col min="26" max="16384" width="11.42578125" style="133"/>
  </cols>
  <sheetData>
    <row r="1" spans="2:22" ht="17.25" thickBot="1"/>
    <row r="2" spans="2:22" ht="24.95" customHeight="1" thickBot="1">
      <c r="B2" s="470" t="s">
        <v>410</v>
      </c>
      <c r="C2" s="2272" t="s">
        <v>521</v>
      </c>
      <c r="D2" s="2273"/>
      <c r="E2" s="2273"/>
      <c r="F2" s="2273"/>
      <c r="G2" s="2273"/>
      <c r="H2" s="2274"/>
      <c r="I2" s="2271"/>
    </row>
    <row r="3" spans="2:22" ht="17.100000000000001" customHeight="1">
      <c r="C3" s="499"/>
      <c r="D3" s="499"/>
      <c r="E3" s="499"/>
      <c r="F3" s="499"/>
      <c r="G3" s="499"/>
      <c r="H3" s="499"/>
      <c r="I3" s="499"/>
    </row>
    <row r="4" spans="2:22" ht="30" customHeight="1">
      <c r="C4" s="1879" t="s">
        <v>602</v>
      </c>
      <c r="D4" s="1880"/>
      <c r="E4" s="1880"/>
      <c r="F4" s="1880"/>
      <c r="G4" s="1880"/>
      <c r="H4" s="1880"/>
      <c r="I4" s="465"/>
      <c r="J4" s="913"/>
      <c r="L4" s="913"/>
      <c r="M4" s="559"/>
      <c r="N4" s="559"/>
      <c r="O4" s="560"/>
      <c r="P4" s="560"/>
    </row>
    <row r="5" spans="2:22" ht="17.100000000000001" customHeight="1">
      <c r="C5" s="1882"/>
      <c r="D5" s="1883"/>
      <c r="E5" s="1883"/>
      <c r="F5" s="1883"/>
      <c r="G5" s="1883"/>
      <c r="H5" s="1883"/>
      <c r="I5" s="465"/>
      <c r="J5" s="913"/>
      <c r="L5" s="525"/>
      <c r="M5" s="561"/>
      <c r="N5" s="561"/>
      <c r="O5" s="913"/>
      <c r="P5" s="913"/>
    </row>
    <row r="6" spans="2:22" ht="17.100000000000001" customHeight="1">
      <c r="C6" s="1882"/>
      <c r="D6" s="1883"/>
      <c r="E6" s="1883"/>
      <c r="F6" s="1883"/>
      <c r="G6" s="1883"/>
      <c r="H6" s="1883"/>
      <c r="I6" s="465"/>
      <c r="J6" s="913"/>
      <c r="L6" s="525"/>
      <c r="M6" s="561"/>
      <c r="N6" s="561"/>
      <c r="O6" s="913"/>
      <c r="P6" s="913"/>
    </row>
    <row r="7" spans="2:22" ht="17.100000000000001" customHeight="1">
      <c r="C7" s="1885"/>
      <c r="D7" s="1886"/>
      <c r="E7" s="1886"/>
      <c r="F7" s="1886"/>
      <c r="G7" s="1886"/>
      <c r="H7" s="1886"/>
      <c r="I7" s="465"/>
      <c r="J7" s="913"/>
      <c r="L7" s="525"/>
      <c r="M7" s="561"/>
      <c r="N7" s="561"/>
      <c r="O7" s="913"/>
      <c r="P7" s="913"/>
    </row>
    <row r="8" spans="2:22" ht="17.100000000000001" customHeight="1">
      <c r="L8" s="525"/>
      <c r="M8" s="561"/>
      <c r="N8" s="561"/>
      <c r="O8" s="913"/>
      <c r="P8" s="913"/>
    </row>
    <row r="9" spans="2:22" ht="17.100000000000001" customHeight="1">
      <c r="C9" s="209"/>
      <c r="D9" s="1952" t="s">
        <v>677</v>
      </c>
      <c r="E9" s="1952"/>
      <c r="F9" s="1944"/>
      <c r="G9" s="1941">
        <v>0</v>
      </c>
      <c r="H9" s="1942"/>
      <c r="L9" s="913"/>
      <c r="M9" s="561"/>
      <c r="N9" s="561"/>
      <c r="O9" s="913"/>
      <c r="P9" s="913"/>
    </row>
    <row r="10" spans="2:22" ht="17.100000000000001" customHeight="1">
      <c r="C10" s="523"/>
      <c r="D10" s="523"/>
      <c r="E10" s="522"/>
      <c r="F10" s="522"/>
    </row>
    <row r="11" spans="2:22" ht="17.100000000000001" customHeight="1">
      <c r="C11" s="533"/>
      <c r="D11" s="533"/>
      <c r="E11" s="1943" t="s">
        <v>569</v>
      </c>
      <c r="F11" s="1944"/>
      <c r="G11" s="1949">
        <v>0</v>
      </c>
      <c r="H11" s="1949"/>
      <c r="I11" s="500"/>
      <c r="J11" s="501"/>
      <c r="K11" s="501"/>
      <c r="L11" s="501"/>
    </row>
    <row r="12" spans="2:22" ht="17.100000000000001" customHeight="1">
      <c r="C12" s="523"/>
      <c r="D12" s="523"/>
      <c r="E12" s="522"/>
      <c r="F12" s="522"/>
      <c r="G12" s="913"/>
      <c r="I12" s="500"/>
      <c r="J12" s="501"/>
      <c r="K12" s="501"/>
      <c r="L12" s="501"/>
      <c r="O12" s="502"/>
    </row>
    <row r="13" spans="2:22" ht="17.100000000000001" customHeight="1">
      <c r="C13" s="209"/>
      <c r="D13" s="209"/>
      <c r="E13" s="1943" t="s">
        <v>530</v>
      </c>
      <c r="F13" s="1944"/>
      <c r="G13" s="1950">
        <v>0</v>
      </c>
      <c r="H13" s="1950"/>
      <c r="I13" s="503"/>
      <c r="J13" s="501"/>
      <c r="K13" s="501"/>
      <c r="L13" s="501"/>
      <c r="V13" s="504"/>
    </row>
    <row r="14" spans="2:22" ht="17.100000000000001" customHeight="1">
      <c r="C14" s="521"/>
      <c r="D14" s="521"/>
      <c r="E14" s="522"/>
      <c r="F14" s="522"/>
      <c r="I14" s="500"/>
      <c r="J14" s="501"/>
      <c r="K14" s="501"/>
      <c r="L14" s="505"/>
    </row>
    <row r="15" spans="2:22" ht="17.100000000000001" customHeight="1">
      <c r="C15" s="521"/>
      <c r="D15" s="1943" t="s">
        <v>681</v>
      </c>
      <c r="E15" s="1943"/>
      <c r="F15" s="1943"/>
      <c r="G15" s="1953"/>
      <c r="H15" s="1954"/>
      <c r="I15" s="500"/>
      <c r="J15" s="501"/>
      <c r="K15" s="501"/>
      <c r="L15" s="505"/>
    </row>
    <row r="16" spans="2:22" ht="17.25">
      <c r="C16" s="523"/>
      <c r="D16" s="523"/>
      <c r="E16" s="524"/>
      <c r="F16" s="916"/>
      <c r="G16" s="525"/>
      <c r="H16" s="525"/>
      <c r="I16" s="500"/>
      <c r="J16" s="501"/>
      <c r="K16" s="501"/>
      <c r="L16" s="501"/>
    </row>
    <row r="17" spans="1:24" ht="16.5" customHeight="1">
      <c r="B17" s="2275" t="s">
        <v>522</v>
      </c>
      <c r="C17" s="2276"/>
      <c r="D17" s="2276"/>
      <c r="E17" s="2276"/>
      <c r="F17" s="2276"/>
      <c r="G17" s="2276"/>
      <c r="H17" s="2277"/>
      <c r="J17" s="2284" t="s">
        <v>523</v>
      </c>
      <c r="K17" s="2285"/>
      <c r="L17" s="2285"/>
      <c r="M17" s="2285"/>
      <c r="N17" s="2285"/>
      <c r="O17" s="2285"/>
      <c r="P17" s="2286"/>
      <c r="Q17" s="506"/>
      <c r="R17" s="2295" t="s">
        <v>529</v>
      </c>
      <c r="S17" s="2296"/>
      <c r="T17" s="2296"/>
      <c r="U17" s="2296"/>
      <c r="V17" s="2296"/>
      <c r="W17" s="2296"/>
      <c r="X17" s="2297"/>
    </row>
    <row r="18" spans="1:24" ht="16.5" customHeight="1">
      <c r="B18" s="2278"/>
      <c r="C18" s="2279"/>
      <c r="D18" s="2280" t="s">
        <v>555</v>
      </c>
      <c r="E18" s="2280"/>
      <c r="F18" s="2281">
        <f>SUM($H$20:$H$59)</f>
        <v>0</v>
      </c>
      <c r="G18" s="2282"/>
      <c r="H18" s="2283"/>
      <c r="J18" s="2287"/>
      <c r="K18" s="2288" t="s">
        <v>555</v>
      </c>
      <c r="L18" s="2288"/>
      <c r="M18" s="2289">
        <f>SUM($P$20:$P$59)</f>
        <v>0</v>
      </c>
      <c r="N18" s="2290"/>
      <c r="O18" s="2291"/>
      <c r="P18" s="2292"/>
      <c r="Q18" s="507"/>
      <c r="R18" s="2298"/>
      <c r="S18" s="2299"/>
      <c r="T18" s="2300" t="s">
        <v>555</v>
      </c>
      <c r="U18" s="2300"/>
      <c r="V18" s="2301">
        <f>SUM($X$20:$X$59)</f>
        <v>0</v>
      </c>
      <c r="W18" s="2302"/>
      <c r="X18" s="2303"/>
    </row>
    <row r="19" spans="1:24" s="508" customFormat="1" ht="13.5">
      <c r="B19" s="526" t="s">
        <v>524</v>
      </c>
      <c r="C19" s="1947" t="s">
        <v>525</v>
      </c>
      <c r="D19" s="1948"/>
      <c r="E19" s="527" t="s">
        <v>526</v>
      </c>
      <c r="F19" s="1933" t="s">
        <v>527</v>
      </c>
      <c r="G19" s="1934"/>
      <c r="H19" s="528" t="s">
        <v>528</v>
      </c>
      <c r="J19" s="509" t="s">
        <v>524</v>
      </c>
      <c r="K19" s="1935" t="s">
        <v>525</v>
      </c>
      <c r="L19" s="1935"/>
      <c r="M19" s="915" t="s">
        <v>526</v>
      </c>
      <c r="N19" s="1936" t="s">
        <v>527</v>
      </c>
      <c r="O19" s="1936"/>
      <c r="P19" s="510" t="s">
        <v>528</v>
      </c>
      <c r="Q19" s="511"/>
      <c r="R19" s="526" t="s">
        <v>524</v>
      </c>
      <c r="S19" s="2293" t="s">
        <v>525</v>
      </c>
      <c r="T19" s="2293"/>
      <c r="U19" s="527" t="s">
        <v>526</v>
      </c>
      <c r="V19" s="2294" t="s">
        <v>527</v>
      </c>
      <c r="W19" s="2294"/>
      <c r="X19" s="528" t="s">
        <v>528</v>
      </c>
    </row>
    <row r="20" spans="1:24">
      <c r="A20" s="640">
        <f>$G$15+1</f>
        <v>1</v>
      </c>
      <c r="B20" s="512" t="str">
        <f>IF($G$13&gt;=1,"1","")</f>
        <v/>
      </c>
      <c r="C20" s="1922">
        <f>$G$9</f>
        <v>0</v>
      </c>
      <c r="D20" s="1951"/>
      <c r="E20" s="529" t="str">
        <f>IF($B$20="","",$C$20*$G$11)</f>
        <v/>
      </c>
      <c r="F20" s="1924" t="str">
        <f>IF($B$20="","",$H$20-$E$20)</f>
        <v/>
      </c>
      <c r="G20" s="1925"/>
      <c r="H20" s="530" t="str">
        <f>IF($B$20="","",$G$9*$G$11/(1-(1+$G$11)^-$G$13))</f>
        <v/>
      </c>
      <c r="J20" s="512" t="str">
        <f>IF($G$13&gt;=1,"1","")</f>
        <v/>
      </c>
      <c r="K20" s="1926">
        <f>$G$9</f>
        <v>0</v>
      </c>
      <c r="L20" s="1927"/>
      <c r="M20" s="513" t="str">
        <f>IF($J$20="","",$K$20*$G$11)</f>
        <v/>
      </c>
      <c r="N20" s="1926" t="e">
        <f>IF($K$20="","",$K$20/$G$13)</f>
        <v>#DIV/0!</v>
      </c>
      <c r="O20" s="1927"/>
      <c r="P20" s="514" t="str">
        <f>IF($J$20="","",$M$20+$N$20)</f>
        <v/>
      </c>
      <c r="Q20" s="515"/>
      <c r="R20" s="516" t="str">
        <f>IF($G$13&gt;=1,"1","")</f>
        <v/>
      </c>
      <c r="S20" s="1926" t="str">
        <f>IF($R$20="","",$G$9)</f>
        <v/>
      </c>
      <c r="T20" s="1928"/>
      <c r="U20" s="513" t="str">
        <f>IF($R$20="","",$G$9*$G$11)</f>
        <v/>
      </c>
      <c r="V20" s="1929" t="str">
        <f>IF($G$13=1,$G$9,"")</f>
        <v/>
      </c>
      <c r="W20" s="1930"/>
      <c r="X20" s="514" t="str">
        <f>IF($R$20="","",SUM($U$20:$W$20))</f>
        <v/>
      </c>
    </row>
    <row r="21" spans="1:24">
      <c r="A21" s="640">
        <f>A20+1</f>
        <v>2</v>
      </c>
      <c r="B21" s="517" t="str">
        <f>IF($G$13&gt;=2,"2","")</f>
        <v/>
      </c>
      <c r="C21" s="1945" t="str">
        <f>IF($B$21="","",$C$20-$F$20)</f>
        <v/>
      </c>
      <c r="D21" s="1946"/>
      <c r="E21" s="531" t="str">
        <f>IF($B$21="","",$C$21*$G$11)</f>
        <v/>
      </c>
      <c r="F21" s="1908" t="str">
        <f>IF($B$21="","",$H$21-$E$21)</f>
        <v/>
      </c>
      <c r="G21" s="1909"/>
      <c r="H21" s="532" t="str">
        <f>IF($B$21="","",$G$9*$G$11/(1-(1+$G$11)^-$G$13))</f>
        <v/>
      </c>
      <c r="J21" s="517" t="str">
        <f>IF($G$13&gt;=2,"2","")</f>
        <v/>
      </c>
      <c r="K21" s="1904" t="str">
        <f>IF($J$21="","",$K$20-$N$20)</f>
        <v/>
      </c>
      <c r="L21" s="1905"/>
      <c r="M21" s="518" t="str">
        <f>IF($J$21="","",$K$21*$G$11)</f>
        <v/>
      </c>
      <c r="N21" s="1904" t="str">
        <f>IF($K$21="","",$K$20/$G$13)</f>
        <v/>
      </c>
      <c r="O21" s="1905"/>
      <c r="P21" s="519" t="str">
        <f>IF($J$21="","",$M$21+$N$21)</f>
        <v/>
      </c>
      <c r="Q21" s="515"/>
      <c r="R21" s="520" t="str">
        <f>IF($G$13&gt;=2,"2","")</f>
        <v/>
      </c>
      <c r="S21" s="1904" t="str">
        <f>IF($R$21="","",$G$9)</f>
        <v/>
      </c>
      <c r="T21" s="1910"/>
      <c r="U21" s="518" t="str">
        <f>IF($R$21="","",$G$9*$G$11)</f>
        <v/>
      </c>
      <c r="V21" s="1911" t="str">
        <f>IF($G$13=2,$G$9,"")</f>
        <v/>
      </c>
      <c r="W21" s="1912"/>
      <c r="X21" s="519" t="str">
        <f>IF($R$21="","",SUM($U$21:$W$21))</f>
        <v/>
      </c>
    </row>
    <row r="22" spans="1:24">
      <c r="A22" s="640">
        <f t="shared" ref="A22:A59" si="0">A21+1</f>
        <v>3</v>
      </c>
      <c r="B22" s="517" t="str">
        <f>IF($G$13&gt;=3,"3","")</f>
        <v/>
      </c>
      <c r="C22" s="1945" t="str">
        <f>IF($B$22="","",$C$21-$F$21)</f>
        <v/>
      </c>
      <c r="D22" s="1946"/>
      <c r="E22" s="531" t="str">
        <f>IF($B$22="","",$C$22*$G$11)</f>
        <v/>
      </c>
      <c r="F22" s="1908" t="str">
        <f>IF($B$22="","",$H$22-$E$22)</f>
        <v/>
      </c>
      <c r="G22" s="1909"/>
      <c r="H22" s="532" t="str">
        <f>IF($B$22="","",$G$9*$G$11/(1-(1+$G$11)^-$G$13))</f>
        <v/>
      </c>
      <c r="J22" s="517" t="str">
        <f>IF($G$13&gt;=3,"3","")</f>
        <v/>
      </c>
      <c r="K22" s="1904" t="str">
        <f>IF($J$22="","",$K$21-$N$21)</f>
        <v/>
      </c>
      <c r="L22" s="1905"/>
      <c r="M22" s="518" t="str">
        <f>IF($J$22="","",$K$22*$G$11)</f>
        <v/>
      </c>
      <c r="N22" s="1904" t="str">
        <f>IF($K$22="","",$K$20/$G$13)</f>
        <v/>
      </c>
      <c r="O22" s="1905"/>
      <c r="P22" s="519" t="str">
        <f>IF($J$22="","",$M$22+$N$22)</f>
        <v/>
      </c>
      <c r="Q22" s="515"/>
      <c r="R22" s="520" t="str">
        <f>IF($G$13&gt;=3,"3","")</f>
        <v/>
      </c>
      <c r="S22" s="1904" t="str">
        <f>IF($R$22="","",$G$9)</f>
        <v/>
      </c>
      <c r="T22" s="1910"/>
      <c r="U22" s="518" t="str">
        <f>IF($R$22="","",$G$9*$G$11)</f>
        <v/>
      </c>
      <c r="V22" s="1911" t="str">
        <f>IF($G$13=3,$G$9,"")</f>
        <v/>
      </c>
      <c r="W22" s="1912"/>
      <c r="X22" s="519" t="str">
        <f>IF($R$22="","",SUM($U$22:$W$22))</f>
        <v/>
      </c>
    </row>
    <row r="23" spans="1:24">
      <c r="A23" s="640">
        <f t="shared" si="0"/>
        <v>4</v>
      </c>
      <c r="B23" s="517" t="str">
        <f>IF($G$13&gt;=4,"4","")</f>
        <v/>
      </c>
      <c r="C23" s="1945" t="str">
        <f>IF($B$23="","",$C$22-$F$22)</f>
        <v/>
      </c>
      <c r="D23" s="1946"/>
      <c r="E23" s="531" t="str">
        <f>IF($B$23="","",$C$23*$G$11)</f>
        <v/>
      </c>
      <c r="F23" s="1908" t="str">
        <f>IF($B$23="","",$H$23-$E$23)</f>
        <v/>
      </c>
      <c r="G23" s="1909"/>
      <c r="H23" s="532" t="str">
        <f>IF($B$23="","",$G$9*$G$11/(1-(1+$G$11)^-$G$13))</f>
        <v/>
      </c>
      <c r="J23" s="517" t="str">
        <f>IF($G$13&gt;=4,"4","")</f>
        <v/>
      </c>
      <c r="K23" s="1904" t="str">
        <f>IF($J$23="","",$K$22-$N$22)</f>
        <v/>
      </c>
      <c r="L23" s="1905"/>
      <c r="M23" s="518" t="str">
        <f>IF($J$23="","",$K$23*$G$11)</f>
        <v/>
      </c>
      <c r="N23" s="1904" t="str">
        <f>IF($K$23="","",$K$20/$G$13)</f>
        <v/>
      </c>
      <c r="O23" s="1905"/>
      <c r="P23" s="519" t="str">
        <f>IF($J$23="","",$M$23+$N$23)</f>
        <v/>
      </c>
      <c r="Q23" s="515"/>
      <c r="R23" s="520" t="str">
        <f>IF($G$13&gt;=4,"4","")</f>
        <v/>
      </c>
      <c r="S23" s="1904" t="str">
        <f>IF($R$23="","",$G$9)</f>
        <v/>
      </c>
      <c r="T23" s="1910"/>
      <c r="U23" s="518" t="str">
        <f>IF($R$23="","",$G$9*$G$11)</f>
        <v/>
      </c>
      <c r="V23" s="1911" t="str">
        <f>IF($G$13=4,$G$9,"")</f>
        <v/>
      </c>
      <c r="W23" s="1912"/>
      <c r="X23" s="519" t="str">
        <f>IF($R$23="","",SUM($U$23:$W$23))</f>
        <v/>
      </c>
    </row>
    <row r="24" spans="1:24">
      <c r="A24" s="640">
        <f t="shared" si="0"/>
        <v>5</v>
      </c>
      <c r="B24" s="517" t="str">
        <f>IF($G$13&gt;=5,"5","")</f>
        <v/>
      </c>
      <c r="C24" s="1945" t="str">
        <f>IF($B$24="","",$C$23-$F$23)</f>
        <v/>
      </c>
      <c r="D24" s="1946"/>
      <c r="E24" s="531" t="str">
        <f>IF($B$24="","",$C$24*$G$11)</f>
        <v/>
      </c>
      <c r="F24" s="1908" t="str">
        <f>IF($B$24="","",$H$24-$E$24)</f>
        <v/>
      </c>
      <c r="G24" s="1909"/>
      <c r="H24" s="532" t="str">
        <f>IF($B$24="","",$G$9*$G$11/(1-(1+$G$11)^-$G$13))</f>
        <v/>
      </c>
      <c r="J24" s="517" t="str">
        <f>IF($G$13&gt;=5,"5","")</f>
        <v/>
      </c>
      <c r="K24" s="1904" t="str">
        <f>IF($J$24="","",$K$23-$N$23)</f>
        <v/>
      </c>
      <c r="L24" s="1905"/>
      <c r="M24" s="518" t="str">
        <f>IF($J$24="","",$K$24*$G$11)</f>
        <v/>
      </c>
      <c r="N24" s="1904" t="str">
        <f>IF($K$24="","",$K$20/$G$13)</f>
        <v/>
      </c>
      <c r="O24" s="1905"/>
      <c r="P24" s="519" t="str">
        <f>IF($J$24="","",$M$24+$N$24)</f>
        <v/>
      </c>
      <c r="Q24" s="515"/>
      <c r="R24" s="520" t="str">
        <f>IF($G$13&gt;=5,"5","")</f>
        <v/>
      </c>
      <c r="S24" s="1904" t="str">
        <f>IF($R$24="","",$G$9)</f>
        <v/>
      </c>
      <c r="T24" s="1910"/>
      <c r="U24" s="518" t="str">
        <f>IF($R$24="","",$G$9*$G$11)</f>
        <v/>
      </c>
      <c r="V24" s="1911" t="str">
        <f>IF($G$13=5,$G$9,"")</f>
        <v/>
      </c>
      <c r="W24" s="1912"/>
      <c r="X24" s="519" t="str">
        <f>IF($R$24="","",SUM($U$24:$W$24))</f>
        <v/>
      </c>
    </row>
    <row r="25" spans="1:24">
      <c r="A25" s="640">
        <f t="shared" si="0"/>
        <v>6</v>
      </c>
      <c r="B25" s="517" t="str">
        <f>IF($G$13&gt;=6,"6","")</f>
        <v/>
      </c>
      <c r="C25" s="1945" t="str">
        <f>IF($B$25="","",$C$24-$F$24)</f>
        <v/>
      </c>
      <c r="D25" s="1946"/>
      <c r="E25" s="531" t="str">
        <f>IF($B$25="","",$C$25*$G$11)</f>
        <v/>
      </c>
      <c r="F25" s="1908" t="str">
        <f>IF($B$25="","",$H$25-$E$25)</f>
        <v/>
      </c>
      <c r="G25" s="1909"/>
      <c r="H25" s="532" t="str">
        <f>IF($B$25="","",$G$9*$G$11/(1-(1+$G$11)^-$G$13))</f>
        <v/>
      </c>
      <c r="J25" s="517" t="str">
        <f>IF($G$13&gt;=6,"6","")</f>
        <v/>
      </c>
      <c r="K25" s="1904" t="str">
        <f>IF($J$25="","",$K$24-$N$24)</f>
        <v/>
      </c>
      <c r="L25" s="1905"/>
      <c r="M25" s="518" t="str">
        <f>IF($J$25="","",$K$25*$G$11)</f>
        <v/>
      </c>
      <c r="N25" s="1904" t="str">
        <f>IF($K$25="","",$K$20/$G$13)</f>
        <v/>
      </c>
      <c r="O25" s="1905"/>
      <c r="P25" s="519" t="str">
        <f>IF($J$25="","",$M$25+$N$25)</f>
        <v/>
      </c>
      <c r="Q25" s="515"/>
      <c r="R25" s="520" t="str">
        <f>IF($G$13&gt;=6,"6","")</f>
        <v/>
      </c>
      <c r="S25" s="1904" t="str">
        <f>IF($R$25="","",$G$9)</f>
        <v/>
      </c>
      <c r="T25" s="1910"/>
      <c r="U25" s="518" t="str">
        <f>IF($R$25="","",$G$9*$G$11)</f>
        <v/>
      </c>
      <c r="V25" s="1911" t="str">
        <f>IF($G$13=6,$G$9,"")</f>
        <v/>
      </c>
      <c r="W25" s="1912"/>
      <c r="X25" s="519" t="str">
        <f>IF($R$25="","",SUM($U$25:$W$25))</f>
        <v/>
      </c>
    </row>
    <row r="26" spans="1:24">
      <c r="A26" s="640">
        <f t="shared" si="0"/>
        <v>7</v>
      </c>
      <c r="B26" s="517" t="str">
        <f>IF($G$13&gt;=7,"7","")</f>
        <v/>
      </c>
      <c r="C26" s="1945" t="str">
        <f>IF($B$26="","",$C$25-$F$25)</f>
        <v/>
      </c>
      <c r="D26" s="1946"/>
      <c r="E26" s="531" t="str">
        <f>IF($B$26="","",$C$26*$G$11)</f>
        <v/>
      </c>
      <c r="F26" s="1908" t="str">
        <f>IF($B$26="","",$H$26-$E$26)</f>
        <v/>
      </c>
      <c r="G26" s="1909"/>
      <c r="H26" s="532" t="str">
        <f>IF($B$26="","",$G$9*$G$11/(1-(1+$G$11)^-$G$13))</f>
        <v/>
      </c>
      <c r="J26" s="517" t="str">
        <f>IF($G$13&gt;=7,"7","")</f>
        <v/>
      </c>
      <c r="K26" s="1904" t="str">
        <f>IF($J$26="","",$K$25-$N$25)</f>
        <v/>
      </c>
      <c r="L26" s="1905"/>
      <c r="M26" s="518" t="str">
        <f>IF($J$26="","",$K$26*$G$11)</f>
        <v/>
      </c>
      <c r="N26" s="1904" t="str">
        <f>IF($K$26="","",$K$20/$G$13)</f>
        <v/>
      </c>
      <c r="O26" s="1905"/>
      <c r="P26" s="519" t="str">
        <f>IF($J$26="","",$M$26+$N$26)</f>
        <v/>
      </c>
      <c r="Q26" s="515"/>
      <c r="R26" s="520" t="str">
        <f>IF($G$13&gt;=7,"7","")</f>
        <v/>
      </c>
      <c r="S26" s="1904" t="str">
        <f>IF($R$26="","",$G$9)</f>
        <v/>
      </c>
      <c r="T26" s="1910"/>
      <c r="U26" s="518" t="str">
        <f>IF($R$26="","",$G$9*$G$11)</f>
        <v/>
      </c>
      <c r="V26" s="1911" t="str">
        <f>IF($G$13=7,$G$9,"")</f>
        <v/>
      </c>
      <c r="W26" s="1912"/>
      <c r="X26" s="519" t="str">
        <f>IF($R$26="","",SUM($U$26:$W$26))</f>
        <v/>
      </c>
    </row>
    <row r="27" spans="1:24">
      <c r="A27" s="640">
        <f t="shared" si="0"/>
        <v>8</v>
      </c>
      <c r="B27" s="517" t="str">
        <f>IF($G$13&gt;=8,"8","")</f>
        <v/>
      </c>
      <c r="C27" s="1945" t="str">
        <f>IF($B$27="","",$C$26-$F$26)</f>
        <v/>
      </c>
      <c r="D27" s="1946"/>
      <c r="E27" s="531" t="str">
        <f>IF($B$27="","",$C$27*$G$11)</f>
        <v/>
      </c>
      <c r="F27" s="1908" t="str">
        <f>IF($B$27="","",$H$27-$E$27)</f>
        <v/>
      </c>
      <c r="G27" s="1909"/>
      <c r="H27" s="532" t="str">
        <f>IF($B$27="","",$G$9*$G$11/(1-(1+$G$11)^-$G$13))</f>
        <v/>
      </c>
      <c r="J27" s="517" t="str">
        <f>IF($G$13&gt;=8,"8","")</f>
        <v/>
      </c>
      <c r="K27" s="1904" t="str">
        <f>IF($J$27="","",$K$26-$N$26)</f>
        <v/>
      </c>
      <c r="L27" s="1905"/>
      <c r="M27" s="518" t="str">
        <f>IF($J$27="","",$K$27*$G$11)</f>
        <v/>
      </c>
      <c r="N27" s="1904" t="str">
        <f>IF($K$27="","",$K$20/$G$13)</f>
        <v/>
      </c>
      <c r="O27" s="1905"/>
      <c r="P27" s="519" t="str">
        <f>IF($J$27="","",$M$27+$N$27)</f>
        <v/>
      </c>
      <c r="Q27" s="515"/>
      <c r="R27" s="520" t="str">
        <f>IF($G$13&gt;=8,"8","")</f>
        <v/>
      </c>
      <c r="S27" s="1904" t="str">
        <f>IF($R$27="","",$G$9)</f>
        <v/>
      </c>
      <c r="T27" s="1910"/>
      <c r="U27" s="518" t="str">
        <f>IF($R$27="","",$G$9*$G$11)</f>
        <v/>
      </c>
      <c r="V27" s="1911" t="str">
        <f>IF($G$13=8,$G$9,"")</f>
        <v/>
      </c>
      <c r="W27" s="1912"/>
      <c r="X27" s="519" t="str">
        <f>IF($R$27="","",SUM($U$27:$W$27))</f>
        <v/>
      </c>
    </row>
    <row r="28" spans="1:24">
      <c r="A28" s="640">
        <f t="shared" si="0"/>
        <v>9</v>
      </c>
      <c r="B28" s="517" t="str">
        <f>IF($G$13&gt;=9,"9","")</f>
        <v/>
      </c>
      <c r="C28" s="1945" t="str">
        <f>IF($B$28="","",$C$27-$F$27)</f>
        <v/>
      </c>
      <c r="D28" s="1946"/>
      <c r="E28" s="531" t="str">
        <f>IF($B$28="","",$C$28*$G$11)</f>
        <v/>
      </c>
      <c r="F28" s="1908" t="str">
        <f>IF($B$28="","",$H$28-$E$28)</f>
        <v/>
      </c>
      <c r="G28" s="1909"/>
      <c r="H28" s="532" t="str">
        <f>IF($B$28="","",$G$9*$G$11/(1-(1+$G$11)^-$G$13))</f>
        <v/>
      </c>
      <c r="J28" s="517" t="str">
        <f>IF($G$13&gt;=9,"9","")</f>
        <v/>
      </c>
      <c r="K28" s="1904" t="str">
        <f>IF($J$28="","",$K$27-$N$27)</f>
        <v/>
      </c>
      <c r="L28" s="1905"/>
      <c r="M28" s="518" t="str">
        <f>IF($J$28="","",$K$28*$G$11)</f>
        <v/>
      </c>
      <c r="N28" s="1904" t="str">
        <f>IF($K$28="","",$K$20/$G$13)</f>
        <v/>
      </c>
      <c r="O28" s="1905"/>
      <c r="P28" s="519" t="str">
        <f>IF($J$28="","",$M$28+$N$28)</f>
        <v/>
      </c>
      <c r="Q28" s="515"/>
      <c r="R28" s="520" t="str">
        <f>IF($G$13&gt;=9,"9","")</f>
        <v/>
      </c>
      <c r="S28" s="1904" t="str">
        <f>IF($R$28="","",$G$9)</f>
        <v/>
      </c>
      <c r="T28" s="1910"/>
      <c r="U28" s="518" t="str">
        <f>IF($R$28="","",$G$9*$G$11)</f>
        <v/>
      </c>
      <c r="V28" s="1911" t="str">
        <f>IF($G$13=9,$G$9,"")</f>
        <v/>
      </c>
      <c r="W28" s="1912"/>
      <c r="X28" s="519" t="str">
        <f>IF($R$28="","",SUM($U$28:$W$28))</f>
        <v/>
      </c>
    </row>
    <row r="29" spans="1:24">
      <c r="A29" s="640">
        <f t="shared" si="0"/>
        <v>10</v>
      </c>
      <c r="B29" s="517" t="str">
        <f>IF($G$13&gt;=10,"10","")</f>
        <v/>
      </c>
      <c r="C29" s="1945" t="str">
        <f>IF($B$29="","",$C$28-$F$28)</f>
        <v/>
      </c>
      <c r="D29" s="1946"/>
      <c r="E29" s="531" t="str">
        <f>IF($B$29="","",$C$29*$G$11)</f>
        <v/>
      </c>
      <c r="F29" s="1908" t="str">
        <f>IF($B$29="","",$H$29-$E$29)</f>
        <v/>
      </c>
      <c r="G29" s="1909"/>
      <c r="H29" s="532" t="str">
        <f>IF($B$29="","",$G$9*$G$11/(1-(1+$G$11)^-$G$13))</f>
        <v/>
      </c>
      <c r="J29" s="517" t="str">
        <f>IF($G$13&gt;=10,"10","")</f>
        <v/>
      </c>
      <c r="K29" s="1904" t="str">
        <f>IF($J$29="","",$K$28-$N$28)</f>
        <v/>
      </c>
      <c r="L29" s="1905"/>
      <c r="M29" s="518" t="str">
        <f>IF($J$29="","",$K$29*$G$11)</f>
        <v/>
      </c>
      <c r="N29" s="1904" t="str">
        <f>IF($K$29="","",$K$20/$G$13)</f>
        <v/>
      </c>
      <c r="O29" s="1905"/>
      <c r="P29" s="519" t="str">
        <f>IF($J$29="","",$M$29+$N$29)</f>
        <v/>
      </c>
      <c r="Q29" s="515"/>
      <c r="R29" s="520" t="str">
        <f>IF($G$13&gt;=10,"10","")</f>
        <v/>
      </c>
      <c r="S29" s="1904" t="str">
        <f>IF($R$29="","",$G$9)</f>
        <v/>
      </c>
      <c r="T29" s="1910"/>
      <c r="U29" s="518" t="str">
        <f>IF($R$29="","",$G$9*$G$11)</f>
        <v/>
      </c>
      <c r="V29" s="1911" t="str">
        <f>IF($G$13=10,$G$9,"")</f>
        <v/>
      </c>
      <c r="W29" s="1912"/>
      <c r="X29" s="519" t="str">
        <f>IF($R$29="","",SUM($U$29:$W$29))</f>
        <v/>
      </c>
    </row>
    <row r="30" spans="1:24">
      <c r="A30" s="640">
        <f t="shared" si="0"/>
        <v>11</v>
      </c>
      <c r="B30" s="517" t="str">
        <f>IF($G$13&gt;=11,"11","")</f>
        <v/>
      </c>
      <c r="C30" s="1945" t="str">
        <f>IF($B$30="","",$C$29-$F$29)</f>
        <v/>
      </c>
      <c r="D30" s="1946"/>
      <c r="E30" s="531" t="str">
        <f>IF($B$30="","",$C$30*$G$11)</f>
        <v/>
      </c>
      <c r="F30" s="1908" t="str">
        <f>IF($B$30="","",$H$30-$E$30)</f>
        <v/>
      </c>
      <c r="G30" s="1909"/>
      <c r="H30" s="532" t="str">
        <f>IF($B$30="","",$G$9*$G$11/(1-(1+$G$11)^-$G$13))</f>
        <v/>
      </c>
      <c r="J30" s="517" t="str">
        <f>IF($G$13&gt;=11,"11","")</f>
        <v/>
      </c>
      <c r="K30" s="1904" t="str">
        <f>IF($J$30="","",$K$29-$N$29)</f>
        <v/>
      </c>
      <c r="L30" s="1905"/>
      <c r="M30" s="518" t="str">
        <f>IF($J$30="","",$K$30*$G$11)</f>
        <v/>
      </c>
      <c r="N30" s="1904" t="str">
        <f>IF($K$30="","",$K$20/$G$13)</f>
        <v/>
      </c>
      <c r="O30" s="1905"/>
      <c r="P30" s="519" t="str">
        <f>IF($J$30="","",$M$30+$N$30)</f>
        <v/>
      </c>
      <c r="Q30" s="515"/>
      <c r="R30" s="520" t="str">
        <f>IF($G$13&gt;=11,"11","")</f>
        <v/>
      </c>
      <c r="S30" s="1904" t="str">
        <f>IF($R$30="","",$G$9)</f>
        <v/>
      </c>
      <c r="T30" s="1910"/>
      <c r="U30" s="518" t="str">
        <f>IF($R$30="","",$G$9*$G$11)</f>
        <v/>
      </c>
      <c r="V30" s="1911" t="str">
        <f>IF($G$13=11,$G$9,"")</f>
        <v/>
      </c>
      <c r="W30" s="1912"/>
      <c r="X30" s="519" t="str">
        <f>IF($R$30="","",SUM($U$30:$W$30))</f>
        <v/>
      </c>
    </row>
    <row r="31" spans="1:24">
      <c r="A31" s="640">
        <f t="shared" si="0"/>
        <v>12</v>
      </c>
      <c r="B31" s="517" t="str">
        <f>IF($G$13&gt;=12,"12","")</f>
        <v/>
      </c>
      <c r="C31" s="1945" t="str">
        <f>IF($B$31="","",$C$30-$F$30)</f>
        <v/>
      </c>
      <c r="D31" s="1946"/>
      <c r="E31" s="531" t="str">
        <f>IF($B$31="","",$C$31*$G$11)</f>
        <v/>
      </c>
      <c r="F31" s="1908" t="str">
        <f>IF($B$31="","",$H$31-$E$31)</f>
        <v/>
      </c>
      <c r="G31" s="1909"/>
      <c r="H31" s="532" t="str">
        <f>IF($B$31="","",$G$9*$G$11/(1-(1+$G$11)^-$G$13))</f>
        <v/>
      </c>
      <c r="J31" s="517" t="str">
        <f>IF($G$13&gt;=12,"12","")</f>
        <v/>
      </c>
      <c r="K31" s="1904" t="str">
        <f>IF($J$31="","",$K$30-$N$30)</f>
        <v/>
      </c>
      <c r="L31" s="1905"/>
      <c r="M31" s="518" t="str">
        <f>IF($J$31="","",$K$31*$G$11)</f>
        <v/>
      </c>
      <c r="N31" s="1904" t="str">
        <f>IF($K$31="","",$K$20/$G$13)</f>
        <v/>
      </c>
      <c r="O31" s="1905"/>
      <c r="P31" s="519" t="str">
        <f>IF($J$31="","",$M$31+$N$31)</f>
        <v/>
      </c>
      <c r="Q31" s="515"/>
      <c r="R31" s="520" t="str">
        <f>IF($G$13&gt;=12,"12","")</f>
        <v/>
      </c>
      <c r="S31" s="1904" t="str">
        <f>IF($R$31="","",$G$9)</f>
        <v/>
      </c>
      <c r="T31" s="1910"/>
      <c r="U31" s="518" t="str">
        <f>IF($R$31="","",$G$9*$G$11)</f>
        <v/>
      </c>
      <c r="V31" s="1911" t="str">
        <f>IF($G$13=12,$G$9,"")</f>
        <v/>
      </c>
      <c r="W31" s="1912"/>
      <c r="X31" s="519" t="str">
        <f>IF($R$31="","",SUM($U$31:$W$31))</f>
        <v/>
      </c>
    </row>
    <row r="32" spans="1:24">
      <c r="A32" s="640">
        <f t="shared" si="0"/>
        <v>13</v>
      </c>
      <c r="B32" s="517" t="str">
        <f>IF($G$13&gt;=13,"13","")</f>
        <v/>
      </c>
      <c r="C32" s="1945" t="str">
        <f>IF($B$32="","",$C$31-$F$31)</f>
        <v/>
      </c>
      <c r="D32" s="1946"/>
      <c r="E32" s="531" t="str">
        <f>IF($B$32="","",$C$32*$G$11)</f>
        <v/>
      </c>
      <c r="F32" s="1908" t="str">
        <f>IF($B$32="","",$H$32-$E$32)</f>
        <v/>
      </c>
      <c r="G32" s="1909"/>
      <c r="H32" s="532" t="str">
        <f>IF($B$32="","",$G$9*$G$11/(1-(1+$G$11)^-$G$13))</f>
        <v/>
      </c>
      <c r="J32" s="517" t="str">
        <f>IF($G$13&gt;=13,"13","")</f>
        <v/>
      </c>
      <c r="K32" s="1904" t="str">
        <f>IF($J$32="","",$K$31-$N$31)</f>
        <v/>
      </c>
      <c r="L32" s="1905"/>
      <c r="M32" s="518" t="str">
        <f>IF($J$32="","",$K$32*$G$11)</f>
        <v/>
      </c>
      <c r="N32" s="1904" t="str">
        <f>IF($K$32="","",$K$20/$G$13)</f>
        <v/>
      </c>
      <c r="O32" s="1905"/>
      <c r="P32" s="519" t="str">
        <f>IF($J$32="","",$M$32+$N$32)</f>
        <v/>
      </c>
      <c r="Q32" s="515"/>
      <c r="R32" s="520" t="str">
        <f>IF($G$13&gt;=13,"13","")</f>
        <v/>
      </c>
      <c r="S32" s="1904" t="str">
        <f>IF($R$32="","",$G$9)</f>
        <v/>
      </c>
      <c r="T32" s="1910"/>
      <c r="U32" s="518" t="str">
        <f>IF($R$32="","",$G$9*$G$11)</f>
        <v/>
      </c>
      <c r="V32" s="1911" t="str">
        <f>IF($G$13=13,$G$9,"")</f>
        <v/>
      </c>
      <c r="W32" s="1912"/>
      <c r="X32" s="519" t="str">
        <f>IF($R$32="","",SUM($U$32:$W$32))</f>
        <v/>
      </c>
    </row>
    <row r="33" spans="1:24">
      <c r="A33" s="640">
        <f t="shared" si="0"/>
        <v>14</v>
      </c>
      <c r="B33" s="517" t="str">
        <f>IF($G$13&gt;=14,"14","")</f>
        <v/>
      </c>
      <c r="C33" s="1945" t="str">
        <f>IF($B$33="","",$C$32-$F$32)</f>
        <v/>
      </c>
      <c r="D33" s="1946"/>
      <c r="E33" s="531" t="str">
        <f>IF($B$33="","",$C$33*$G$11)</f>
        <v/>
      </c>
      <c r="F33" s="1908" t="str">
        <f>IF($B$33="","",$H$33-$E$33)</f>
        <v/>
      </c>
      <c r="G33" s="1909"/>
      <c r="H33" s="532" t="str">
        <f>IF($B$33="","",$G$9*$G$11/(1-(1+$G$11)^-$G$13))</f>
        <v/>
      </c>
      <c r="J33" s="517" t="str">
        <f>IF($G$13&gt;=14,"14","")</f>
        <v/>
      </c>
      <c r="K33" s="1904" t="str">
        <f>IF($J$33="","",$K$32-$N$32)</f>
        <v/>
      </c>
      <c r="L33" s="1905"/>
      <c r="M33" s="518" t="str">
        <f>IF($J$33="","",$K$33*$G$11)</f>
        <v/>
      </c>
      <c r="N33" s="1904" t="str">
        <f>IF($K$33="","",$K$20/$G$13)</f>
        <v/>
      </c>
      <c r="O33" s="1905"/>
      <c r="P33" s="519" t="str">
        <f>IF($J$33="","",$M$33+$N$33)</f>
        <v/>
      </c>
      <c r="Q33" s="515"/>
      <c r="R33" s="520" t="str">
        <f>IF($G$13&gt;=14,"14","")</f>
        <v/>
      </c>
      <c r="S33" s="1904" t="str">
        <f>IF($R$33="","",$G$9)</f>
        <v/>
      </c>
      <c r="T33" s="1910"/>
      <c r="U33" s="518" t="str">
        <f>IF($R$33="","",$G$9*$G$11)</f>
        <v/>
      </c>
      <c r="V33" s="1911" t="str">
        <f>IF($G$13=14,$G$9,"")</f>
        <v/>
      </c>
      <c r="W33" s="1912"/>
      <c r="X33" s="519" t="str">
        <f>IF($R$33="","",SUM($U$33:$W$33))</f>
        <v/>
      </c>
    </row>
    <row r="34" spans="1:24">
      <c r="A34" s="640">
        <f t="shared" si="0"/>
        <v>15</v>
      </c>
      <c r="B34" s="517" t="str">
        <f>IF($G$13&gt;=15,"15","")</f>
        <v/>
      </c>
      <c r="C34" s="1945" t="str">
        <f>IF($B$34="","",$C$33-$F$33)</f>
        <v/>
      </c>
      <c r="D34" s="1946"/>
      <c r="E34" s="531" t="str">
        <f>IF($B$34="","",$C$34*$G$11)</f>
        <v/>
      </c>
      <c r="F34" s="1908" t="str">
        <f>IF($B$34="","",$H$34-$E$34)</f>
        <v/>
      </c>
      <c r="G34" s="1909"/>
      <c r="H34" s="532" t="str">
        <f>IF($B$34="","",$G$9*$G$11/(1-(1+$G$11)^-$G$13))</f>
        <v/>
      </c>
      <c r="J34" s="517" t="str">
        <f>IF($G$13&gt;=15,"15","")</f>
        <v/>
      </c>
      <c r="K34" s="1904" t="str">
        <f>IF($J$34="","",$K$33-$N$33)</f>
        <v/>
      </c>
      <c r="L34" s="1905"/>
      <c r="M34" s="518" t="str">
        <f>IF($J$34="","",$K$34*$G$11)</f>
        <v/>
      </c>
      <c r="N34" s="1904" t="str">
        <f>IF($K$34="","",$K$20/$G$13)</f>
        <v/>
      </c>
      <c r="O34" s="1905"/>
      <c r="P34" s="519" t="str">
        <f>IF($J$34="","",$M$34+$N$34)</f>
        <v/>
      </c>
      <c r="Q34" s="515"/>
      <c r="R34" s="520" t="str">
        <f>IF($G$13&gt;=15,"15","")</f>
        <v/>
      </c>
      <c r="S34" s="1904" t="str">
        <f>IF($R$34="","",$G$9)</f>
        <v/>
      </c>
      <c r="T34" s="1910"/>
      <c r="U34" s="518" t="str">
        <f>IF($R$34="","",$G$9*$G$11)</f>
        <v/>
      </c>
      <c r="V34" s="1911" t="str">
        <f>IF($G$13=15,$G$9,"")</f>
        <v/>
      </c>
      <c r="W34" s="1912"/>
      <c r="X34" s="519" t="str">
        <f>IF($R$34="","",SUM($U$34:$W$34))</f>
        <v/>
      </c>
    </row>
    <row r="35" spans="1:24">
      <c r="A35" s="640">
        <f t="shared" si="0"/>
        <v>16</v>
      </c>
      <c r="B35" s="517" t="str">
        <f>IF($G$13&gt;=16,"16","")</f>
        <v/>
      </c>
      <c r="C35" s="1945" t="str">
        <f>IF($B$35="","",$C$34-$F$34)</f>
        <v/>
      </c>
      <c r="D35" s="1946"/>
      <c r="E35" s="531" t="str">
        <f>IF($B$35="","",$C$35*$G$11)</f>
        <v/>
      </c>
      <c r="F35" s="1908" t="str">
        <f>IF($B$35="","",$H$35-$E$35)</f>
        <v/>
      </c>
      <c r="G35" s="1909"/>
      <c r="H35" s="532" t="str">
        <f>IF($B$35="","",$G$9*$G$11/(1-(1+$G$11)^-$G$13))</f>
        <v/>
      </c>
      <c r="J35" s="517" t="str">
        <f>IF($G$13&gt;=16,"16","")</f>
        <v/>
      </c>
      <c r="K35" s="1904" t="str">
        <f>IF($J$35="","",$K$34-$N$34)</f>
        <v/>
      </c>
      <c r="L35" s="1905"/>
      <c r="M35" s="518" t="str">
        <f>IF($J$35="","",$K$35*$G$11)</f>
        <v/>
      </c>
      <c r="N35" s="1955" t="str">
        <f>IF($K$35="","",$K$20/$G$13)</f>
        <v/>
      </c>
      <c r="O35" s="1956"/>
      <c r="P35" s="519" t="str">
        <f>IF($J$35="","",$M$35+$N$35)</f>
        <v/>
      </c>
      <c r="Q35" s="515"/>
      <c r="R35" s="520" t="str">
        <f>IF($G$13&gt;=16,"16","")</f>
        <v/>
      </c>
      <c r="S35" s="1904" t="str">
        <f>IF($R$35="","",$G$9)</f>
        <v/>
      </c>
      <c r="T35" s="1910"/>
      <c r="U35" s="518" t="str">
        <f>IF($R$35="","",$G$9*$G$11)</f>
        <v/>
      </c>
      <c r="V35" s="1911" t="str">
        <f>IF($G$13=16,$G$9,"")</f>
        <v/>
      </c>
      <c r="W35" s="1912"/>
      <c r="X35" s="519" t="str">
        <f>IF($R$35="","",SUM($U$35:$W$35))</f>
        <v/>
      </c>
    </row>
    <row r="36" spans="1:24">
      <c r="A36" s="640">
        <f t="shared" si="0"/>
        <v>17</v>
      </c>
      <c r="B36" s="517" t="str">
        <f>IF($G$13&gt;=17,"17","")</f>
        <v/>
      </c>
      <c r="C36" s="1945" t="str">
        <f>IF($B$36="","",$C$35-$F$35)</f>
        <v/>
      </c>
      <c r="D36" s="1946"/>
      <c r="E36" s="531" t="str">
        <f>IF($B$36="","",$C$36*$G$11)</f>
        <v/>
      </c>
      <c r="F36" s="1908" t="str">
        <f>IF($B$36="","",$H$36-$E$36)</f>
        <v/>
      </c>
      <c r="G36" s="1909"/>
      <c r="H36" s="532" t="str">
        <f>IF($B$36="","",$G$9*$G$11/(1-(1+$G$11)^-$G$13))</f>
        <v/>
      </c>
      <c r="J36" s="517" t="str">
        <f>IF($G$13&gt;=17,"17","")</f>
        <v/>
      </c>
      <c r="K36" s="1904" t="str">
        <f>IF($J$36="","",$K$35-$N$35)</f>
        <v/>
      </c>
      <c r="L36" s="1905"/>
      <c r="M36" s="518" t="str">
        <f>IF($J$36="","",$K$36*$G$11)</f>
        <v/>
      </c>
      <c r="N36" s="1904" t="str">
        <f>IF($K$36="","",$K$20/$G$13)</f>
        <v/>
      </c>
      <c r="O36" s="1905"/>
      <c r="P36" s="519" t="str">
        <f>IF($J$36="","",$M$36+$N$36)</f>
        <v/>
      </c>
      <c r="Q36" s="515"/>
      <c r="R36" s="520" t="str">
        <f>IF($G$13&gt;=17,"17","")</f>
        <v/>
      </c>
      <c r="S36" s="1904" t="str">
        <f>IF($R$36="","",$G$9)</f>
        <v/>
      </c>
      <c r="T36" s="1910"/>
      <c r="U36" s="518" t="str">
        <f>IF($R$36="","",$G$9*$G$11)</f>
        <v/>
      </c>
      <c r="V36" s="1911" t="str">
        <f>IF($G$13=17,$G$9,"")</f>
        <v/>
      </c>
      <c r="W36" s="1912"/>
      <c r="X36" s="519" t="str">
        <f>IF($R$36="","",SUM($U$36:$W$36))</f>
        <v/>
      </c>
    </row>
    <row r="37" spans="1:24">
      <c r="A37" s="640">
        <f t="shared" si="0"/>
        <v>18</v>
      </c>
      <c r="B37" s="517" t="str">
        <f>IF($G$13&gt;=18,"18","")</f>
        <v/>
      </c>
      <c r="C37" s="1945" t="str">
        <f>IF($B$37="","",$C$36-$F$36)</f>
        <v/>
      </c>
      <c r="D37" s="1946"/>
      <c r="E37" s="531" t="str">
        <f>IF($B$37="","",$C$37*$G$11)</f>
        <v/>
      </c>
      <c r="F37" s="1908" t="str">
        <f>IF($B$37="","",$H$37-$E$37)</f>
        <v/>
      </c>
      <c r="G37" s="1909"/>
      <c r="H37" s="532" t="str">
        <f>IF($B$37="","",$G$9*$G$11/(1-(1+$G$11)^-$G$13))</f>
        <v/>
      </c>
      <c r="J37" s="517" t="str">
        <f>IF($G$13&gt;=18,"18","")</f>
        <v/>
      </c>
      <c r="K37" s="1904" t="str">
        <f>IF($J$37="","",$K$36-$N$36)</f>
        <v/>
      </c>
      <c r="L37" s="1905"/>
      <c r="M37" s="518" t="str">
        <f>IF($J$37="","",$K$37*$G$11)</f>
        <v/>
      </c>
      <c r="N37" s="1904" t="str">
        <f>IF($K$37="","",$K$20/$G$13)</f>
        <v/>
      </c>
      <c r="O37" s="1905"/>
      <c r="P37" s="519" t="str">
        <f>IF($J$37="","",$M$37+$N$37)</f>
        <v/>
      </c>
      <c r="Q37" s="515"/>
      <c r="R37" s="520" t="str">
        <f>IF($G$13&gt;=18,"18","")</f>
        <v/>
      </c>
      <c r="S37" s="1904" t="str">
        <f>IF($R$37="","",$G$9)</f>
        <v/>
      </c>
      <c r="T37" s="1910"/>
      <c r="U37" s="518" t="str">
        <f>IF($R$37="","",$G$9*$G$11)</f>
        <v/>
      </c>
      <c r="V37" s="1911" t="str">
        <f>IF($G$13=18,$G$9,"")</f>
        <v/>
      </c>
      <c r="W37" s="1912"/>
      <c r="X37" s="519" t="str">
        <f>IF($R$37="","",SUM($U$37:$W$37))</f>
        <v/>
      </c>
    </row>
    <row r="38" spans="1:24">
      <c r="A38" s="640">
        <f t="shared" si="0"/>
        <v>19</v>
      </c>
      <c r="B38" s="517" t="str">
        <f>IF($G$13&gt;=19,"19","")</f>
        <v/>
      </c>
      <c r="C38" s="1945" t="str">
        <f>IF($B$38="","",$C$37-$F$37)</f>
        <v/>
      </c>
      <c r="D38" s="1946"/>
      <c r="E38" s="531" t="str">
        <f>IF($B$38="","",$C$38*$G$11)</f>
        <v/>
      </c>
      <c r="F38" s="1908" t="str">
        <f>IF($B$38="","",$H$38-$E$38)</f>
        <v/>
      </c>
      <c r="G38" s="1909"/>
      <c r="H38" s="532" t="str">
        <f>IF($B$38="","",$G$9*$G$11/(1-(1+$G$11)^-$G$13))</f>
        <v/>
      </c>
      <c r="J38" s="517" t="str">
        <f>IF($G$13&gt;=19,"19","")</f>
        <v/>
      </c>
      <c r="K38" s="1904" t="str">
        <f>IF($J$38="","",$K$37-$N$37)</f>
        <v/>
      </c>
      <c r="L38" s="1905"/>
      <c r="M38" s="518" t="str">
        <f>IF($J$38="","",$K$38*$G$11)</f>
        <v/>
      </c>
      <c r="N38" s="1904" t="str">
        <f>IF($K$38="","",$K$20/$G$13)</f>
        <v/>
      </c>
      <c r="O38" s="1905"/>
      <c r="P38" s="519" t="str">
        <f>IF($J$38="","",$M$38+$N$38)</f>
        <v/>
      </c>
      <c r="Q38" s="515"/>
      <c r="R38" s="520" t="str">
        <f>IF($G$13&gt;=19,"19","")</f>
        <v/>
      </c>
      <c r="S38" s="1904" t="str">
        <f>IF($R$38="","",$G$9)</f>
        <v/>
      </c>
      <c r="T38" s="1910"/>
      <c r="U38" s="518" t="str">
        <f>IF($R$38="","",$G$9*$G$11)</f>
        <v/>
      </c>
      <c r="V38" s="1911" t="str">
        <f>IF($G$13=19,$G$9,"")</f>
        <v/>
      </c>
      <c r="W38" s="1912"/>
      <c r="X38" s="519" t="str">
        <f>IF($R$38="","",SUM($U$38:$W$38))</f>
        <v/>
      </c>
    </row>
    <row r="39" spans="1:24">
      <c r="A39" s="640">
        <f t="shared" si="0"/>
        <v>20</v>
      </c>
      <c r="B39" s="517" t="str">
        <f>IF($G$13&gt;=20,"20","")</f>
        <v/>
      </c>
      <c r="C39" s="1945" t="str">
        <f>IF($B$39="","",$C$38-$F$38)</f>
        <v/>
      </c>
      <c r="D39" s="1946"/>
      <c r="E39" s="531" t="str">
        <f>IF($B$39="","",$C$39*$G$11)</f>
        <v/>
      </c>
      <c r="F39" s="1908" t="str">
        <f>IF($B$39="","",$H$39-$E$39)</f>
        <v/>
      </c>
      <c r="G39" s="1909"/>
      <c r="H39" s="532" t="str">
        <f>IF($B$39="","",$G$9*$G$11/(1-(1+$G$11)^-$G$13))</f>
        <v/>
      </c>
      <c r="J39" s="517" t="str">
        <f>IF($G$13&gt;=20,"20","")</f>
        <v/>
      </c>
      <c r="K39" s="1904" t="str">
        <f>IF($J$39="","",$K$38-$N$38)</f>
        <v/>
      </c>
      <c r="L39" s="1905"/>
      <c r="M39" s="518" t="str">
        <f>IF($J$39="","",$K$39*$G$11)</f>
        <v/>
      </c>
      <c r="N39" s="1904" t="str">
        <f>IF($K$39="","",$K$20/$G$13)</f>
        <v/>
      </c>
      <c r="O39" s="1905"/>
      <c r="P39" s="519" t="str">
        <f>IF($J$39="","",$M$39+$N$39)</f>
        <v/>
      </c>
      <c r="Q39" s="515"/>
      <c r="R39" s="520" t="str">
        <f>IF($G$13&gt;=20,"20","")</f>
        <v/>
      </c>
      <c r="S39" s="1904" t="str">
        <f>IF($R$39="","",$G$9)</f>
        <v/>
      </c>
      <c r="T39" s="1910"/>
      <c r="U39" s="518" t="str">
        <f>IF($R$39="","",$G$9*$G$11)</f>
        <v/>
      </c>
      <c r="V39" s="1911" t="str">
        <f>IF($G$13=20,$G$9,"")</f>
        <v/>
      </c>
      <c r="W39" s="1912"/>
      <c r="X39" s="519" t="str">
        <f>IF($R$39="","",SUM($U$39:$W$39))</f>
        <v/>
      </c>
    </row>
    <row r="40" spans="1:24">
      <c r="A40" s="640">
        <f t="shared" si="0"/>
        <v>21</v>
      </c>
      <c r="B40" s="517" t="str">
        <f>IF($G$13&gt;=21,"21","")</f>
        <v/>
      </c>
      <c r="C40" s="1945" t="str">
        <f>IF($B$40="","",$C$39-$F$39)</f>
        <v/>
      </c>
      <c r="D40" s="1946"/>
      <c r="E40" s="531" t="str">
        <f>IF($B$40="","",$C$40*$G$11)</f>
        <v/>
      </c>
      <c r="F40" s="1908" t="str">
        <f>IF($B$40="","",$H$40-$E$40)</f>
        <v/>
      </c>
      <c r="G40" s="1909"/>
      <c r="H40" s="532" t="str">
        <f>IF($B$40="","",$G$9*$G$11/(1-(1+$G$11)^-$G$13))</f>
        <v/>
      </c>
      <c r="J40" s="517" t="str">
        <f>IF($G$13&gt;=21,"21","")</f>
        <v/>
      </c>
      <c r="K40" s="1904" t="str">
        <f>IF($J$40="","",$K$39-$N$39)</f>
        <v/>
      </c>
      <c r="L40" s="1905"/>
      <c r="M40" s="518" t="str">
        <f>IF($J$40="","",$K$40*$G$11)</f>
        <v/>
      </c>
      <c r="N40" s="1904" t="str">
        <f>IF($K$40="","",$K$20/$G$13)</f>
        <v/>
      </c>
      <c r="O40" s="1905"/>
      <c r="P40" s="519" t="str">
        <f>IF($J$40="","",$M$40+$N$40)</f>
        <v/>
      </c>
      <c r="Q40" s="515"/>
      <c r="R40" s="520" t="str">
        <f>IF($G$13&gt;=21,"21","")</f>
        <v/>
      </c>
      <c r="S40" s="1904" t="str">
        <f>IF($R$40="","",$G$9)</f>
        <v/>
      </c>
      <c r="T40" s="1910"/>
      <c r="U40" s="518" t="str">
        <f>IF($R$40="","",$G$9*$G$11)</f>
        <v/>
      </c>
      <c r="V40" s="1911" t="str">
        <f>IF($G$13=21,$G$9,"")</f>
        <v/>
      </c>
      <c r="W40" s="1912"/>
      <c r="X40" s="519" t="str">
        <f>IF($R$40="","",SUM($U$40:$W$40))</f>
        <v/>
      </c>
    </row>
    <row r="41" spans="1:24">
      <c r="A41" s="640">
        <f t="shared" si="0"/>
        <v>22</v>
      </c>
      <c r="B41" s="517" t="str">
        <f>IF($G$13&gt;=22,"22","")</f>
        <v/>
      </c>
      <c r="C41" s="1945" t="str">
        <f>IF($B$41="","",$C$40-$F$40)</f>
        <v/>
      </c>
      <c r="D41" s="1946"/>
      <c r="E41" s="531" t="str">
        <f>IF($B$41="","",$C$41*$G$11)</f>
        <v/>
      </c>
      <c r="F41" s="1908" t="str">
        <f>IF($B$41="","",$H$41-$E$41)</f>
        <v/>
      </c>
      <c r="G41" s="1909"/>
      <c r="H41" s="532" t="str">
        <f>IF($B$41="","",$G$9*$G$11/(1-(1+$G$11)^-$G$13))</f>
        <v/>
      </c>
      <c r="J41" s="517" t="str">
        <f>IF($G$13&gt;=22,"22","")</f>
        <v/>
      </c>
      <c r="K41" s="1904" t="str">
        <f>IF($J$41="","",$K$40-$N$40)</f>
        <v/>
      </c>
      <c r="L41" s="1905"/>
      <c r="M41" s="518" t="str">
        <f>IF($J$41="","",$K$41*$G$11)</f>
        <v/>
      </c>
      <c r="N41" s="1904" t="str">
        <f>IF($K$41="","",$K$20/$G$13)</f>
        <v/>
      </c>
      <c r="O41" s="1905"/>
      <c r="P41" s="519" t="str">
        <f>IF($J$41="","",$M$41+$N$41)</f>
        <v/>
      </c>
      <c r="Q41" s="515"/>
      <c r="R41" s="520" t="str">
        <f>IF($G$13&gt;=22,"22","")</f>
        <v/>
      </c>
      <c r="S41" s="1904" t="str">
        <f>IF($R$41="","",$G$9)</f>
        <v/>
      </c>
      <c r="T41" s="1910"/>
      <c r="U41" s="518" t="str">
        <f>IF($R$41="","",$G$9*$G$11)</f>
        <v/>
      </c>
      <c r="V41" s="1911" t="str">
        <f>IF($G$13=22,$G$9,"")</f>
        <v/>
      </c>
      <c r="W41" s="1912"/>
      <c r="X41" s="519" t="str">
        <f>IF($R$41="","",SUM($U$41:$W$41))</f>
        <v/>
      </c>
    </row>
    <row r="42" spans="1:24">
      <c r="A42" s="640">
        <f t="shared" si="0"/>
        <v>23</v>
      </c>
      <c r="B42" s="517" t="str">
        <f>IF($G$13&gt;=23,"23","")</f>
        <v/>
      </c>
      <c r="C42" s="1945" t="str">
        <f>IF($B$42="","",$C$41-$F$41)</f>
        <v/>
      </c>
      <c r="D42" s="1946"/>
      <c r="E42" s="531" t="str">
        <f>IF($B$42="","",$C$42*$G$11)</f>
        <v/>
      </c>
      <c r="F42" s="1908" t="str">
        <f>IF($B$42="","",$H$42-$E$42)</f>
        <v/>
      </c>
      <c r="G42" s="1909"/>
      <c r="H42" s="532" t="str">
        <f>IF($B$42="","",$G$9*$G$11/(1-(1+$G$11)^-$G$13))</f>
        <v/>
      </c>
      <c r="J42" s="517" t="str">
        <f>IF($G$13&gt;=23,"23","")</f>
        <v/>
      </c>
      <c r="K42" s="1904" t="str">
        <f>IF($J$42="","",$K$41-$N$41)</f>
        <v/>
      </c>
      <c r="L42" s="1905"/>
      <c r="M42" s="518" t="str">
        <f>IF($J$42="","",$K$42*$G$11)</f>
        <v/>
      </c>
      <c r="N42" s="1904" t="str">
        <f>IF($K$42="","",$K$20/$G$13)</f>
        <v/>
      </c>
      <c r="O42" s="1905"/>
      <c r="P42" s="519" t="str">
        <f>IF($J$42="","",$M$42+$N$42)</f>
        <v/>
      </c>
      <c r="Q42" s="515"/>
      <c r="R42" s="520" t="str">
        <f>IF($G$13&gt;=23,"23","")</f>
        <v/>
      </c>
      <c r="S42" s="1904" t="str">
        <f>IF($R$42="","",$G$9)</f>
        <v/>
      </c>
      <c r="T42" s="1910"/>
      <c r="U42" s="518" t="str">
        <f>IF($R$42="","",$G$9*$G$11)</f>
        <v/>
      </c>
      <c r="V42" s="1911" t="str">
        <f>IF($G$13=23,$G$9,"")</f>
        <v/>
      </c>
      <c r="W42" s="1912"/>
      <c r="X42" s="519" t="str">
        <f>IF($R$42="","",SUM($U$42:$W$42))</f>
        <v/>
      </c>
    </row>
    <row r="43" spans="1:24">
      <c r="A43" s="640">
        <f t="shared" si="0"/>
        <v>24</v>
      </c>
      <c r="B43" s="517" t="str">
        <f>IF($G$13&gt;=24,"24","")</f>
        <v/>
      </c>
      <c r="C43" s="1945" t="str">
        <f>IF($B$43="","",$C$42-$F$42)</f>
        <v/>
      </c>
      <c r="D43" s="1946"/>
      <c r="E43" s="531" t="str">
        <f>IF($B$43="","",$C$43*$G$11)</f>
        <v/>
      </c>
      <c r="F43" s="1908" t="str">
        <f>IF($B$43="","",$H$43-$E$43)</f>
        <v/>
      </c>
      <c r="G43" s="1909"/>
      <c r="H43" s="532" t="str">
        <f>IF($B$43="","",$G$9*$G$11/(1-(1+$G$11)^-$G$13))</f>
        <v/>
      </c>
      <c r="J43" s="517" t="str">
        <f>IF($G$13&gt;=24,"24","")</f>
        <v/>
      </c>
      <c r="K43" s="1904" t="str">
        <f>IF($J$43="","",$K$42-$N$42)</f>
        <v/>
      </c>
      <c r="L43" s="1905"/>
      <c r="M43" s="518" t="str">
        <f>IF($J$43="","",$K$43*$G$11)</f>
        <v/>
      </c>
      <c r="N43" s="1904" t="str">
        <f>IF($K$43="","",$K$20/$G$13)</f>
        <v/>
      </c>
      <c r="O43" s="1905"/>
      <c r="P43" s="519" t="str">
        <f>IF($J$43="","",$M$43+$N$43)</f>
        <v/>
      </c>
      <c r="Q43" s="515"/>
      <c r="R43" s="520" t="str">
        <f>IF($G$13&gt;=24,"24","")</f>
        <v/>
      </c>
      <c r="S43" s="1904" t="str">
        <f>IF($R$43="","",$G$9)</f>
        <v/>
      </c>
      <c r="T43" s="1910"/>
      <c r="U43" s="518" t="str">
        <f>IF($R$43="","",$G$9*$G$11)</f>
        <v/>
      </c>
      <c r="V43" s="1911" t="str">
        <f>IF($G$13=24,$G$9,"")</f>
        <v/>
      </c>
      <c r="W43" s="1912"/>
      <c r="X43" s="519" t="str">
        <f>IF($R$43="","",SUM($U$43:$W$43))</f>
        <v/>
      </c>
    </row>
    <row r="44" spans="1:24">
      <c r="A44" s="640">
        <f t="shared" si="0"/>
        <v>25</v>
      </c>
      <c r="B44" s="517" t="str">
        <f>IF($G$13&gt;=25,"25","")</f>
        <v/>
      </c>
      <c r="C44" s="1945" t="str">
        <f>IF($B$44="","",$C$43-$F$43)</f>
        <v/>
      </c>
      <c r="D44" s="1946"/>
      <c r="E44" s="531" t="str">
        <f>IF($B$44="","",$C$44*$G$11)</f>
        <v/>
      </c>
      <c r="F44" s="1908" t="str">
        <f>IF($B$44="","",$H$44-$E$44)</f>
        <v/>
      </c>
      <c r="G44" s="1909"/>
      <c r="H44" s="532" t="str">
        <f>IF($B$44="","",$G$9*$G$11/(1-(1+$G$11)^-$G$13))</f>
        <v/>
      </c>
      <c r="J44" s="517" t="str">
        <f>IF($G$13&gt;=25,"25","")</f>
        <v/>
      </c>
      <c r="K44" s="1904" t="str">
        <f>IF($J$44="","",$K$43-$N$43)</f>
        <v/>
      </c>
      <c r="L44" s="1905"/>
      <c r="M44" s="518" t="str">
        <f>IF($J$44="","",$K$44*$G$11)</f>
        <v/>
      </c>
      <c r="N44" s="1904" t="str">
        <f>IF($K$44="","",$K$20/$G$13)</f>
        <v/>
      </c>
      <c r="O44" s="1905"/>
      <c r="P44" s="519" t="str">
        <f>IF($J$44="","",$M$44+$N$44)</f>
        <v/>
      </c>
      <c r="Q44" s="515"/>
      <c r="R44" s="520" t="str">
        <f>IF($G$13&gt;=25,"25","")</f>
        <v/>
      </c>
      <c r="S44" s="1904" t="str">
        <f>IF($R$44="","",$G$9)</f>
        <v/>
      </c>
      <c r="T44" s="1910"/>
      <c r="U44" s="518" t="str">
        <f>IF($R$44="","",$G$9*$G$11)</f>
        <v/>
      </c>
      <c r="V44" s="1911" t="str">
        <f>IF($G$13=25,$G$9,"")</f>
        <v/>
      </c>
      <c r="W44" s="1912"/>
      <c r="X44" s="519" t="str">
        <f>IF($R$44="","",SUM($U$44:$W$44))</f>
        <v/>
      </c>
    </row>
    <row r="45" spans="1:24">
      <c r="A45" s="640">
        <f t="shared" si="0"/>
        <v>26</v>
      </c>
      <c r="B45" s="517" t="str">
        <f>IF($G$13&gt;=26,"26","")</f>
        <v/>
      </c>
      <c r="C45" s="1945" t="str">
        <f>IF($B$45="","",$C$44-$F$44)</f>
        <v/>
      </c>
      <c r="D45" s="1946"/>
      <c r="E45" s="531" t="str">
        <f>IF($B$45="","",$C$45*$G$11)</f>
        <v/>
      </c>
      <c r="F45" s="1908" t="str">
        <f>IF($B$45="","",$H$45-$E$45)</f>
        <v/>
      </c>
      <c r="G45" s="1909"/>
      <c r="H45" s="532" t="str">
        <f>IF($B$45="","",$G$9*$G$11/(1-(1+$G$11)^-$G$13))</f>
        <v/>
      </c>
      <c r="J45" s="517" t="str">
        <f>IF($G$13&gt;=26,"26","")</f>
        <v/>
      </c>
      <c r="K45" s="1904" t="str">
        <f>IF($J$45="","",$K$44-$N$44)</f>
        <v/>
      </c>
      <c r="L45" s="1905"/>
      <c r="M45" s="518" t="str">
        <f>IF($J$45="","",$K$45*$G$11)</f>
        <v/>
      </c>
      <c r="N45" s="1904" t="str">
        <f>IF($K$45="","",$K$20/$G$13)</f>
        <v/>
      </c>
      <c r="O45" s="1905"/>
      <c r="P45" s="519" t="str">
        <f>IF($J$45="","",$M$45+$N$45)</f>
        <v/>
      </c>
      <c r="Q45" s="515"/>
      <c r="R45" s="520" t="str">
        <f>IF($G$13&gt;=26,"26","")</f>
        <v/>
      </c>
      <c r="S45" s="1904" t="str">
        <f>IF($R$45="","",$G$9)</f>
        <v/>
      </c>
      <c r="T45" s="1910"/>
      <c r="U45" s="518" t="str">
        <f>IF($R$45="","",$G$9*$G$11)</f>
        <v/>
      </c>
      <c r="V45" s="1911" t="str">
        <f>IF($G$13=26,$G$9,"")</f>
        <v/>
      </c>
      <c r="W45" s="1912"/>
      <c r="X45" s="519" t="str">
        <f>IF($R$45="","",SUM($U$45:$W$45))</f>
        <v/>
      </c>
    </row>
    <row r="46" spans="1:24">
      <c r="A46" s="640">
        <f t="shared" si="0"/>
        <v>27</v>
      </c>
      <c r="B46" s="517" t="str">
        <f>IF($G$13&gt;=27,"27","")</f>
        <v/>
      </c>
      <c r="C46" s="1945" t="str">
        <f>IF($B$46="","",$C$45-$F$45)</f>
        <v/>
      </c>
      <c r="D46" s="1946"/>
      <c r="E46" s="531" t="str">
        <f>IF($B$46="","",$C$46*$G$11)</f>
        <v/>
      </c>
      <c r="F46" s="1908" t="str">
        <f>IF($B$46="","",$H$46-$E$46)</f>
        <v/>
      </c>
      <c r="G46" s="1909"/>
      <c r="H46" s="532" t="str">
        <f>IF($B$46="","",$G$9*$G$11/(1-(1+$G$11)^-$G$13))</f>
        <v/>
      </c>
      <c r="J46" s="517" t="str">
        <f>IF($G$13&gt;=27,"27","")</f>
        <v/>
      </c>
      <c r="K46" s="1904" t="str">
        <f>IF($J$46="","",$K$45-$N$45)</f>
        <v/>
      </c>
      <c r="L46" s="1905"/>
      <c r="M46" s="518" t="str">
        <f>IF($J$46="","",$K$46*$G$11)</f>
        <v/>
      </c>
      <c r="N46" s="1904" t="str">
        <f>IF($K$46="","",$K$20/$G$13)</f>
        <v/>
      </c>
      <c r="O46" s="1905"/>
      <c r="P46" s="519" t="str">
        <f>IF($J$46="","",$M$46+$N$46)</f>
        <v/>
      </c>
      <c r="Q46" s="515"/>
      <c r="R46" s="520" t="str">
        <f>IF($G$13&gt;=27,"27","")</f>
        <v/>
      </c>
      <c r="S46" s="1904" t="str">
        <f>IF($R$46="","",$G$9)</f>
        <v/>
      </c>
      <c r="T46" s="1910"/>
      <c r="U46" s="518" t="str">
        <f>IF($R$46="","",$G$9*$G$11)</f>
        <v/>
      </c>
      <c r="V46" s="1911" t="str">
        <f>IF($G$13=27,$G$9,"")</f>
        <v/>
      </c>
      <c r="W46" s="1912"/>
      <c r="X46" s="519" t="str">
        <f>IF($R$46="","",SUM($U$46:$W$46))</f>
        <v/>
      </c>
    </row>
    <row r="47" spans="1:24">
      <c r="A47" s="640">
        <f t="shared" si="0"/>
        <v>28</v>
      </c>
      <c r="B47" s="517" t="str">
        <f>IF($G$13&gt;=28,"28","")</f>
        <v/>
      </c>
      <c r="C47" s="1945" t="str">
        <f>IF($B$47="","",$C$46-$F$46)</f>
        <v/>
      </c>
      <c r="D47" s="1946"/>
      <c r="E47" s="531" t="str">
        <f>IF($B$47="","",$C$47*$G$11)</f>
        <v/>
      </c>
      <c r="F47" s="1908" t="str">
        <f>IF($B$47="","",$H$47-$E$47)</f>
        <v/>
      </c>
      <c r="G47" s="1909"/>
      <c r="H47" s="532" t="str">
        <f>IF($B$47="","",$G$9*$G$11/(1-(1+$G$11)^-$G$13))</f>
        <v/>
      </c>
      <c r="J47" s="517" t="str">
        <f>IF($G$13&gt;=28,"28","")</f>
        <v/>
      </c>
      <c r="K47" s="1904" t="str">
        <f>IF($J$47="","",$K$46-$N$46)</f>
        <v/>
      </c>
      <c r="L47" s="1905"/>
      <c r="M47" s="518" t="str">
        <f>IF($J$47="","",$K$47*$G$11)</f>
        <v/>
      </c>
      <c r="N47" s="1904" t="str">
        <f>IF($K$47="","",$K$20/$G$13)</f>
        <v/>
      </c>
      <c r="O47" s="1905"/>
      <c r="P47" s="519" t="str">
        <f>IF($J$47="","",$M$47+$N$47)</f>
        <v/>
      </c>
      <c r="Q47" s="515"/>
      <c r="R47" s="520" t="str">
        <f>IF($G$13&gt;=28,"28","")</f>
        <v/>
      </c>
      <c r="S47" s="1904" t="str">
        <f>IF($R$47="","",$G$9)</f>
        <v/>
      </c>
      <c r="T47" s="1910"/>
      <c r="U47" s="518" t="str">
        <f>IF($R$47="","",$G$9*$G$11)</f>
        <v/>
      </c>
      <c r="V47" s="1911" t="str">
        <f>IF($G$13=28,$G$9,"")</f>
        <v/>
      </c>
      <c r="W47" s="1912"/>
      <c r="X47" s="519" t="str">
        <f>IF($R$47="","",SUM($U$47:$W$47))</f>
        <v/>
      </c>
    </row>
    <row r="48" spans="1:24">
      <c r="A48" s="640">
        <f t="shared" si="0"/>
        <v>29</v>
      </c>
      <c r="B48" s="517" t="str">
        <f>IF($G$13&gt;=29,"29","")</f>
        <v/>
      </c>
      <c r="C48" s="1945" t="str">
        <f>IF($B$48="","",$C$47-$F$47)</f>
        <v/>
      </c>
      <c r="D48" s="1946"/>
      <c r="E48" s="531" t="str">
        <f>IF($B$48="","",$C$48*$G$11)</f>
        <v/>
      </c>
      <c r="F48" s="1908" t="str">
        <f>IF($B$48="","",$H$48-$E$48)</f>
        <v/>
      </c>
      <c r="G48" s="1909"/>
      <c r="H48" s="532" t="str">
        <f>IF($B$48="","",$G$9*$G$11/(1-(1+$G$11)^-$G$13))</f>
        <v/>
      </c>
      <c r="J48" s="517" t="str">
        <f>IF($G$13&gt;=29,"29","")</f>
        <v/>
      </c>
      <c r="K48" s="1904" t="str">
        <f>IF($J$48="","",$K$47-$N$47)</f>
        <v/>
      </c>
      <c r="L48" s="1905"/>
      <c r="M48" s="518" t="str">
        <f>IF($J$48="","",$K$48*$G$11)</f>
        <v/>
      </c>
      <c r="N48" s="1904" t="str">
        <f>IF($K$48="","",$K$20/$G$13)</f>
        <v/>
      </c>
      <c r="O48" s="1905"/>
      <c r="P48" s="519" t="str">
        <f>IF($J$48="","",$M$48+$N$48)</f>
        <v/>
      </c>
      <c r="Q48" s="515"/>
      <c r="R48" s="520" t="str">
        <f>IF($G$13&gt;=29,"29","")</f>
        <v/>
      </c>
      <c r="S48" s="1904" t="str">
        <f>IF($R$48="","",$G$9)</f>
        <v/>
      </c>
      <c r="T48" s="1910"/>
      <c r="U48" s="518" t="str">
        <f>IF($R$48="","",$G$9*$G$11)</f>
        <v/>
      </c>
      <c r="V48" s="1911" t="str">
        <f>IF($G$13=29,$G$9,"")</f>
        <v/>
      </c>
      <c r="W48" s="1912"/>
      <c r="X48" s="519" t="str">
        <f>IF($R$48="","",SUM($U$48:$W$48))</f>
        <v/>
      </c>
    </row>
    <row r="49" spans="1:24">
      <c r="A49" s="640">
        <f t="shared" si="0"/>
        <v>30</v>
      </c>
      <c r="B49" s="517" t="str">
        <f>IF($G$13&gt;=30,"30","")</f>
        <v/>
      </c>
      <c r="C49" s="1945" t="str">
        <f>IF($B$49="","",$C$48-$F$48)</f>
        <v/>
      </c>
      <c r="D49" s="1946"/>
      <c r="E49" s="531" t="str">
        <f>IF($B$49="","",$C$49*$G$11)</f>
        <v/>
      </c>
      <c r="F49" s="1908" t="str">
        <f>IF($B$49="","",$H$49-$E$49)</f>
        <v/>
      </c>
      <c r="G49" s="1909"/>
      <c r="H49" s="532" t="str">
        <f>IF($B$49="","",$G$9*$G$11/(1-(1+$G$11)^-$G$13))</f>
        <v/>
      </c>
      <c r="J49" s="517" t="str">
        <f>IF($G$13&gt;=30,"30","")</f>
        <v/>
      </c>
      <c r="K49" s="1904" t="str">
        <f>IF($J$49="","",$K$48-$N$48)</f>
        <v/>
      </c>
      <c r="L49" s="1905"/>
      <c r="M49" s="518" t="str">
        <f>IF($J$49="","",$K$49*$G$11)</f>
        <v/>
      </c>
      <c r="N49" s="1904" t="str">
        <f>IF($K$49="","",$K$20/$G$13)</f>
        <v/>
      </c>
      <c r="O49" s="1905"/>
      <c r="P49" s="519" t="str">
        <f>IF($J$49="","",$M$49+$N$49)</f>
        <v/>
      </c>
      <c r="Q49" s="515"/>
      <c r="R49" s="520" t="str">
        <f>IF($G$13&gt;=30,"30","")</f>
        <v/>
      </c>
      <c r="S49" s="1904" t="str">
        <f>IF($R$49="","",$G$9)</f>
        <v/>
      </c>
      <c r="T49" s="1910"/>
      <c r="U49" s="518" t="str">
        <f>IF($R$49="","",$G$9*$G$11)</f>
        <v/>
      </c>
      <c r="V49" s="1911" t="str">
        <f>IF($G$13=30,$G$9,"")</f>
        <v/>
      </c>
      <c r="W49" s="1912"/>
      <c r="X49" s="519" t="str">
        <f>IF($R$49="","",SUM($U$49:$W$49))</f>
        <v/>
      </c>
    </row>
    <row r="50" spans="1:24">
      <c r="A50" s="640">
        <f t="shared" si="0"/>
        <v>31</v>
      </c>
      <c r="B50" s="517" t="str">
        <f>IF($G$13&gt;=31,"31","")</f>
        <v/>
      </c>
      <c r="C50" s="1945" t="str">
        <f>IF($B$50="","",$C$49-$F$49)</f>
        <v/>
      </c>
      <c r="D50" s="1946"/>
      <c r="E50" s="531" t="str">
        <f>IF($B$50="","",$C$50*$G$11)</f>
        <v/>
      </c>
      <c r="F50" s="1908" t="str">
        <f>IF($B$50="","",$H$50-$E$50)</f>
        <v/>
      </c>
      <c r="G50" s="1909"/>
      <c r="H50" s="532" t="str">
        <f>IF($B$50="","",$G$9*$G$11/(1-(1+$G$11)^-$G$13))</f>
        <v/>
      </c>
      <c r="J50" s="517" t="str">
        <f>IF($G$13&gt;=31,"31","")</f>
        <v/>
      </c>
      <c r="K50" s="1904" t="str">
        <f>IF($J$50="","",$K$49-$N$49)</f>
        <v/>
      </c>
      <c r="L50" s="1905"/>
      <c r="M50" s="518" t="str">
        <f>IF($J$50="","",$K$50*$G$11)</f>
        <v/>
      </c>
      <c r="N50" s="1904" t="str">
        <f>IF($K$50="","",$K$20/$G$13)</f>
        <v/>
      </c>
      <c r="O50" s="1905"/>
      <c r="P50" s="519" t="str">
        <f>IF($J$50="","",$M$50+$N$50)</f>
        <v/>
      </c>
      <c r="Q50" s="515"/>
      <c r="R50" s="520" t="str">
        <f>IF($G$13&gt;=31,"31","")</f>
        <v/>
      </c>
      <c r="S50" s="1904" t="str">
        <f>IF($R$50="","",$G$9)</f>
        <v/>
      </c>
      <c r="T50" s="1910"/>
      <c r="U50" s="518" t="str">
        <f>IF($R$50="","",$G$9*$G$11)</f>
        <v/>
      </c>
      <c r="V50" s="1911" t="str">
        <f>IF($G$13=31,$G$9,"")</f>
        <v/>
      </c>
      <c r="W50" s="1912"/>
      <c r="X50" s="519" t="str">
        <f>IF($R$50="","",SUM($U$50:$W$50))</f>
        <v/>
      </c>
    </row>
    <row r="51" spans="1:24">
      <c r="A51" s="640">
        <f t="shared" si="0"/>
        <v>32</v>
      </c>
      <c r="B51" s="517" t="str">
        <f>IF($G$13&gt;=32,"32","")</f>
        <v/>
      </c>
      <c r="C51" s="1945" t="str">
        <f>IF($B$51="","",$C$50-$F$50)</f>
        <v/>
      </c>
      <c r="D51" s="1946"/>
      <c r="E51" s="531" t="str">
        <f>IF($B$51="","",$C$51*$G$11)</f>
        <v/>
      </c>
      <c r="F51" s="1908" t="str">
        <f>IF($B$51="","",$H$51-$E$51)</f>
        <v/>
      </c>
      <c r="G51" s="1909"/>
      <c r="H51" s="532" t="str">
        <f>IF($B$51="","",$G$9*$G$11/(1-(1+$G$11)^-$G$13))</f>
        <v/>
      </c>
      <c r="J51" s="517" t="str">
        <f>IF($G$13&gt;=32,"32","")</f>
        <v/>
      </c>
      <c r="K51" s="1904" t="str">
        <f>IF($J$51="","",$K$50-$N$50)</f>
        <v/>
      </c>
      <c r="L51" s="1905"/>
      <c r="M51" s="518" t="str">
        <f>IF($J$51="","",$K$51*$G$11)</f>
        <v/>
      </c>
      <c r="N51" s="1904" t="str">
        <f>IF($K$51="","",$K$20/$G$13)</f>
        <v/>
      </c>
      <c r="O51" s="1905"/>
      <c r="P51" s="519" t="str">
        <f>IF($J$51="","",$M$51+$N$51)</f>
        <v/>
      </c>
      <c r="Q51" s="515"/>
      <c r="R51" s="520" t="str">
        <f>IF($G$13&gt;=32,"32","")</f>
        <v/>
      </c>
      <c r="S51" s="1904" t="str">
        <f>IF($R$51="","",$G$9)</f>
        <v/>
      </c>
      <c r="T51" s="1910"/>
      <c r="U51" s="518" t="str">
        <f>IF($R$51="","",$G$9*$G$11)</f>
        <v/>
      </c>
      <c r="V51" s="1911" t="str">
        <f>IF($G$13=32,$G$9,"")</f>
        <v/>
      </c>
      <c r="W51" s="1912"/>
      <c r="X51" s="519" t="str">
        <f>IF($R$51="","",SUM($U$51:$W$51))</f>
        <v/>
      </c>
    </row>
    <row r="52" spans="1:24">
      <c r="A52" s="640">
        <f t="shared" si="0"/>
        <v>33</v>
      </c>
      <c r="B52" s="517" t="str">
        <f>IF($G$13&gt;=33,"33","")</f>
        <v/>
      </c>
      <c r="C52" s="1945" t="str">
        <f>IF($B$52="","",$C$51-$F$51)</f>
        <v/>
      </c>
      <c r="D52" s="1946"/>
      <c r="E52" s="531" t="str">
        <f>IF($B$52="","",$C$52*$G$11)</f>
        <v/>
      </c>
      <c r="F52" s="1908" t="str">
        <f>IF($B$52="","",$H$52-$E$52)</f>
        <v/>
      </c>
      <c r="G52" s="1909"/>
      <c r="H52" s="532" t="str">
        <f>IF($B$52="","",$G$9*$G$11/(1-(1+$G$11)^-$G$13))</f>
        <v/>
      </c>
      <c r="J52" s="517" t="str">
        <f>IF($G$13&gt;=33,"33","")</f>
        <v/>
      </c>
      <c r="K52" s="1904" t="str">
        <f>IF($J$52="","",$K$51-$N$51)</f>
        <v/>
      </c>
      <c r="L52" s="1905"/>
      <c r="M52" s="518" t="str">
        <f>IF($J$52="","",$K$52*$G$11)</f>
        <v/>
      </c>
      <c r="N52" s="1904" t="str">
        <f>IF($K$52="","",$K$20/$G$13)</f>
        <v/>
      </c>
      <c r="O52" s="1905"/>
      <c r="P52" s="519" t="str">
        <f>IF($J$52="","",$M$52+$N$52)</f>
        <v/>
      </c>
      <c r="Q52" s="515"/>
      <c r="R52" s="520" t="str">
        <f>IF($G$13&gt;=33,"33","")</f>
        <v/>
      </c>
      <c r="S52" s="1904" t="str">
        <f>IF($R$52="","",$G$9)</f>
        <v/>
      </c>
      <c r="T52" s="1910"/>
      <c r="U52" s="518" t="str">
        <f>IF($R$52="","",$G$9*$G$11)</f>
        <v/>
      </c>
      <c r="V52" s="1911" t="str">
        <f>IF($G$13=33,$G$9,"")</f>
        <v/>
      </c>
      <c r="W52" s="1912"/>
      <c r="X52" s="519" t="str">
        <f>IF($R$52="","",SUM($U$52:$W$52))</f>
        <v/>
      </c>
    </row>
    <row r="53" spans="1:24">
      <c r="A53" s="640">
        <f t="shared" si="0"/>
        <v>34</v>
      </c>
      <c r="B53" s="517" t="str">
        <f>IF($G$13&gt;=34,"34","")</f>
        <v/>
      </c>
      <c r="C53" s="1945" t="str">
        <f>IF($B$53="","",$C$52-$F$52)</f>
        <v/>
      </c>
      <c r="D53" s="1946"/>
      <c r="E53" s="531" t="str">
        <f>IF($B$53="","",$C$53*$G$11)</f>
        <v/>
      </c>
      <c r="F53" s="1908" t="str">
        <f>IF($B$53="","",$H$53-$E$53)</f>
        <v/>
      </c>
      <c r="G53" s="1909"/>
      <c r="H53" s="532" t="str">
        <f>IF($B$53="","",$G$9*$G$11/(1-(1+$G$11)^-$G$13))</f>
        <v/>
      </c>
      <c r="J53" s="517" t="str">
        <f>IF($G$13&gt;=34,"34","")</f>
        <v/>
      </c>
      <c r="K53" s="1904" t="str">
        <f>IF($J$53="","",$K$52-$N$52)</f>
        <v/>
      </c>
      <c r="L53" s="1905"/>
      <c r="M53" s="518" t="str">
        <f>IF($J$53="","",$K$53*$G$11)</f>
        <v/>
      </c>
      <c r="N53" s="1904" t="str">
        <f>IF($K$53="","",$K$20/$G$13)</f>
        <v/>
      </c>
      <c r="O53" s="1905"/>
      <c r="P53" s="519" t="str">
        <f>IF($J$53="","",$M$53+$N$53)</f>
        <v/>
      </c>
      <c r="Q53" s="515"/>
      <c r="R53" s="520" t="str">
        <f>IF($G$13&gt;=34,"34","")</f>
        <v/>
      </c>
      <c r="S53" s="1904" t="str">
        <f>IF($R$53="","",$G$9)</f>
        <v/>
      </c>
      <c r="T53" s="1910"/>
      <c r="U53" s="518" t="str">
        <f>IF($R$53="","",$G$9*$G$11)</f>
        <v/>
      </c>
      <c r="V53" s="1911" t="str">
        <f>IF($G$13=34,$G$9,"")</f>
        <v/>
      </c>
      <c r="W53" s="1912"/>
      <c r="X53" s="519" t="str">
        <f>IF($R$53="","",SUM($U$53:$W$53))</f>
        <v/>
      </c>
    </row>
    <row r="54" spans="1:24">
      <c r="A54" s="640">
        <f t="shared" si="0"/>
        <v>35</v>
      </c>
      <c r="B54" s="517" t="str">
        <f>IF($G$13&gt;=35,"35","")</f>
        <v/>
      </c>
      <c r="C54" s="1945" t="str">
        <f>IF($B$54="","",$C$53-$F$53)</f>
        <v/>
      </c>
      <c r="D54" s="1946"/>
      <c r="E54" s="531" t="str">
        <f>IF($B$54="","",$C$54*$G$11)</f>
        <v/>
      </c>
      <c r="F54" s="1908" t="str">
        <f>IF($B$54="","",$H$54-$E$54)</f>
        <v/>
      </c>
      <c r="G54" s="1909"/>
      <c r="H54" s="532" t="str">
        <f>IF($B$54="","",$G$9*$G$11/(1-(1+$G$11)^-$G$13))</f>
        <v/>
      </c>
      <c r="J54" s="517" t="str">
        <f>IF($G$13&gt;=35,"35","")</f>
        <v/>
      </c>
      <c r="K54" s="1904" t="str">
        <f>IF($J$54="","",$K$53-$N$53)</f>
        <v/>
      </c>
      <c r="L54" s="1905"/>
      <c r="M54" s="518" t="str">
        <f>IF($J$54="","",$K$54*$G$11)</f>
        <v/>
      </c>
      <c r="N54" s="1904" t="str">
        <f>IF($K$54="","",$K$20/$G$13)</f>
        <v/>
      </c>
      <c r="O54" s="1905"/>
      <c r="P54" s="519" t="str">
        <f>IF($J$54="","",$M$54+$N$54)</f>
        <v/>
      </c>
      <c r="Q54" s="515"/>
      <c r="R54" s="520" t="str">
        <f>IF($G$13&gt;=35,"35","")</f>
        <v/>
      </c>
      <c r="S54" s="1904" t="str">
        <f>IF($R$54="","",$G$9)</f>
        <v/>
      </c>
      <c r="T54" s="1910"/>
      <c r="U54" s="518" t="str">
        <f>IF($R$54="","",$G$9*$G$11)</f>
        <v/>
      </c>
      <c r="V54" s="1911" t="str">
        <f>IF($G$13=35,$G$9,"")</f>
        <v/>
      </c>
      <c r="W54" s="1912"/>
      <c r="X54" s="519" t="str">
        <f>IF($R$54="","",SUM($U$54:$W$54))</f>
        <v/>
      </c>
    </row>
    <row r="55" spans="1:24">
      <c r="A55" s="640">
        <f t="shared" si="0"/>
        <v>36</v>
      </c>
      <c r="B55" s="517" t="str">
        <f>IF($G$13&gt;=36,"36","")</f>
        <v/>
      </c>
      <c r="C55" s="1945" t="str">
        <f>IF($B$55="","",$C$54-$F$54)</f>
        <v/>
      </c>
      <c r="D55" s="1946"/>
      <c r="E55" s="531" t="str">
        <f>IF($B$55="","",$C$55*$G$11)</f>
        <v/>
      </c>
      <c r="F55" s="1908" t="str">
        <f>IF($B$55="","",$H$55-$E$55)</f>
        <v/>
      </c>
      <c r="G55" s="1909"/>
      <c r="H55" s="532" t="str">
        <f>IF($B$55="","",$G$9*$G$11/(1-(1+$G$11)^-$G$13))</f>
        <v/>
      </c>
      <c r="J55" s="517" t="str">
        <f>IF($G$13&gt;=36,"36","")</f>
        <v/>
      </c>
      <c r="K55" s="1904" t="str">
        <f>IF($J$55="","",$K$54-$N$54)</f>
        <v/>
      </c>
      <c r="L55" s="1905"/>
      <c r="M55" s="518" t="str">
        <f>IF($J$55="","",$K$55*$G$11)</f>
        <v/>
      </c>
      <c r="N55" s="1904" t="str">
        <f>IF($K$55="","",$K$20/$G$13)</f>
        <v/>
      </c>
      <c r="O55" s="1905"/>
      <c r="P55" s="519" t="str">
        <f>IF($J$55="","",$M$55+$N$55)</f>
        <v/>
      </c>
      <c r="Q55" s="515"/>
      <c r="R55" s="520" t="str">
        <f>IF($G$13&gt;=36,"36","")</f>
        <v/>
      </c>
      <c r="S55" s="1904" t="str">
        <f>IF($R$55="","",$G$9)</f>
        <v/>
      </c>
      <c r="T55" s="1910"/>
      <c r="U55" s="518" t="str">
        <f>IF($R$55="","",$G$9*$G$11)</f>
        <v/>
      </c>
      <c r="V55" s="1911" t="str">
        <f>IF($G$13=36,$G$9,"")</f>
        <v/>
      </c>
      <c r="W55" s="1912"/>
      <c r="X55" s="519" t="str">
        <f>IF($R$55="","",SUM($U$55:$W$55))</f>
        <v/>
      </c>
    </row>
    <row r="56" spans="1:24">
      <c r="A56" s="640">
        <f t="shared" si="0"/>
        <v>37</v>
      </c>
      <c r="B56" s="517" t="str">
        <f>IF($G$13&gt;=37,"37","")</f>
        <v/>
      </c>
      <c r="C56" s="1945" t="str">
        <f>IF($B$56="","",$C$55-$F$55)</f>
        <v/>
      </c>
      <c r="D56" s="1946"/>
      <c r="E56" s="531" t="str">
        <f>IF($B$56="","",$C$56*$G$11)</f>
        <v/>
      </c>
      <c r="F56" s="1908" t="str">
        <f>IF($B$56="","",$H$56-$E$56)</f>
        <v/>
      </c>
      <c r="G56" s="1909"/>
      <c r="H56" s="532" t="str">
        <f>IF($B$56="","",$G$9*$G$11/(1-(1+$G$11)^-$G$13))</f>
        <v/>
      </c>
      <c r="J56" s="517" t="str">
        <f>IF($G$13&gt;=37,"37","")</f>
        <v/>
      </c>
      <c r="K56" s="1904" t="str">
        <f>IF($J$56="","",$K$55-$N$55)</f>
        <v/>
      </c>
      <c r="L56" s="1905"/>
      <c r="M56" s="518" t="str">
        <f>IF($J$56="","",$K$56*$G$11)</f>
        <v/>
      </c>
      <c r="N56" s="1904" t="str">
        <f>IF($K$56="","",$K$20/$G$13)</f>
        <v/>
      </c>
      <c r="O56" s="1905"/>
      <c r="P56" s="519" t="str">
        <f>IF($J$56="","",$M$56+$N$56)</f>
        <v/>
      </c>
      <c r="Q56" s="515"/>
      <c r="R56" s="520" t="str">
        <f>IF($G$13&gt;=37,"37","")</f>
        <v/>
      </c>
      <c r="S56" s="1904" t="str">
        <f>IF($R$56="","",$G$9)</f>
        <v/>
      </c>
      <c r="T56" s="1910"/>
      <c r="U56" s="518" t="str">
        <f>IF($R$56="","",$G$9*$G$11)</f>
        <v/>
      </c>
      <c r="V56" s="1911" t="str">
        <f>IF($G$13=37,$G$9,"")</f>
        <v/>
      </c>
      <c r="W56" s="1912"/>
      <c r="X56" s="519" t="str">
        <f>IF($R$56="","",SUM($U$56:$W$56))</f>
        <v/>
      </c>
    </row>
    <row r="57" spans="1:24">
      <c r="A57" s="640">
        <f t="shared" si="0"/>
        <v>38</v>
      </c>
      <c r="B57" s="517" t="str">
        <f>IF($G$13&gt;=38,"38","")</f>
        <v/>
      </c>
      <c r="C57" s="1945" t="str">
        <f>IF($B$57="","",$C$56-$F$56)</f>
        <v/>
      </c>
      <c r="D57" s="1946"/>
      <c r="E57" s="531" t="str">
        <f>IF($B$57="","",$C$57*$G$11)</f>
        <v/>
      </c>
      <c r="F57" s="1908" t="str">
        <f>IF($B$57="","",$H$57-$E$57)</f>
        <v/>
      </c>
      <c r="G57" s="1909"/>
      <c r="H57" s="532" t="str">
        <f>IF($B$57="","",$G$9*$G$11/(1-(1+$G$11)^-$G$13))</f>
        <v/>
      </c>
      <c r="J57" s="517" t="str">
        <f>IF($G$13&gt;=38,"38","")</f>
        <v/>
      </c>
      <c r="K57" s="1904" t="str">
        <f>IF($J$57="","",$K$56-$N$56)</f>
        <v/>
      </c>
      <c r="L57" s="1905"/>
      <c r="M57" s="518" t="str">
        <f>IF($J$57="","",$K$57*$G$11)</f>
        <v/>
      </c>
      <c r="N57" s="1904" t="str">
        <f>IF($K$57="","",$K$20/$G$13)</f>
        <v/>
      </c>
      <c r="O57" s="1905"/>
      <c r="P57" s="519" t="str">
        <f>IF($J$57="","",$M$57+$N$57)</f>
        <v/>
      </c>
      <c r="Q57" s="515"/>
      <c r="R57" s="520" t="str">
        <f>IF($G$13&gt;=38,"38","")</f>
        <v/>
      </c>
      <c r="S57" s="1904" t="str">
        <f>IF($R$57="","",$G$9)</f>
        <v/>
      </c>
      <c r="T57" s="1910"/>
      <c r="U57" s="518" t="str">
        <f>IF($R$57="","",$G$9*$G$11)</f>
        <v/>
      </c>
      <c r="V57" s="1911" t="str">
        <f>IF($G$13=38,$G$9,"")</f>
        <v/>
      </c>
      <c r="W57" s="1912"/>
      <c r="X57" s="519" t="str">
        <f>IF($R$57="","",SUM($U$57:$W$57))</f>
        <v/>
      </c>
    </row>
    <row r="58" spans="1:24">
      <c r="A58" s="640">
        <f t="shared" si="0"/>
        <v>39</v>
      </c>
      <c r="B58" s="517" t="str">
        <f>IF($G$13&gt;=39,"39","")</f>
        <v/>
      </c>
      <c r="C58" s="1945" t="str">
        <f>IF($B$58="","",$C$57-$F$57)</f>
        <v/>
      </c>
      <c r="D58" s="1946"/>
      <c r="E58" s="531" t="str">
        <f>IF($B$58="","",$C$58*$G$11)</f>
        <v/>
      </c>
      <c r="F58" s="1908" t="str">
        <f>IF($B$58="","",$H$58-$E$58)</f>
        <v/>
      </c>
      <c r="G58" s="1909"/>
      <c r="H58" s="532" t="str">
        <f>IF($B$58="","",$G$9*$G$11/(1-(1+$G$11)^-$G$13))</f>
        <v/>
      </c>
      <c r="J58" s="517" t="str">
        <f>IF($G$13&gt;=39,"39","")</f>
        <v/>
      </c>
      <c r="K58" s="1904" t="str">
        <f>IF($J$58="","",$K$57-$N$57)</f>
        <v/>
      </c>
      <c r="L58" s="1905"/>
      <c r="M58" s="518" t="str">
        <f>IF($J$58="","",$K$58*$G$11)</f>
        <v/>
      </c>
      <c r="N58" s="1904" t="str">
        <f>IF($K$58="","",$K$20/$G$13)</f>
        <v/>
      </c>
      <c r="O58" s="1905"/>
      <c r="P58" s="519" t="str">
        <f>IF($J$58="","",$M$58+$N$58)</f>
        <v/>
      </c>
      <c r="Q58" s="515"/>
      <c r="R58" s="520" t="str">
        <f>IF($G$13&gt;=39,"39","")</f>
        <v/>
      </c>
      <c r="S58" s="1904" t="str">
        <f>IF($R$58="","",$G$9)</f>
        <v/>
      </c>
      <c r="T58" s="1910"/>
      <c r="U58" s="518" t="str">
        <f>IF($R$58="","",$G$9*$G$11)</f>
        <v/>
      </c>
      <c r="V58" s="1911" t="str">
        <f>IF($G$13=39,$G$9,"")</f>
        <v/>
      </c>
      <c r="W58" s="1912"/>
      <c r="X58" s="519" t="str">
        <f>IF($R$58="","",SUM($U$58:$W$58))</f>
        <v/>
      </c>
    </row>
    <row r="59" spans="1:24">
      <c r="A59" s="640">
        <f t="shared" si="0"/>
        <v>40</v>
      </c>
      <c r="B59" s="553" t="str">
        <f>IF($G$13=40,"40","")</f>
        <v/>
      </c>
      <c r="C59" s="1957" t="str">
        <f>IF($B$59="","",$C$58-$F$58)</f>
        <v/>
      </c>
      <c r="D59" s="1958"/>
      <c r="E59" s="554" t="str">
        <f>IF($B$59="","",$C$59*$G$11)</f>
        <v/>
      </c>
      <c r="F59" s="1915" t="str">
        <f>IF($B$59="","",$H$59-$E$59)</f>
        <v/>
      </c>
      <c r="G59" s="1916"/>
      <c r="H59" s="555" t="str">
        <f>IF($B$59="","",$G$9*$G$11/(1-(1+$G$11)^-$G$13))</f>
        <v/>
      </c>
      <c r="J59" s="553" t="str">
        <f>IF($G$13=40,"40","")</f>
        <v/>
      </c>
      <c r="K59" s="1917" t="str">
        <f>IF($J$59="","",$K$58-$N$58)</f>
        <v/>
      </c>
      <c r="L59" s="1918"/>
      <c r="M59" s="551" t="str">
        <f>IF($J$59="","",$K$59*$G$11)</f>
        <v/>
      </c>
      <c r="N59" s="1917" t="str">
        <f>IF($K$59="","",$K$20/$G$13)</f>
        <v/>
      </c>
      <c r="O59" s="1918"/>
      <c r="P59" s="552" t="str">
        <f>IF($J$59="","",$M$59+$N$59)</f>
        <v/>
      </c>
      <c r="Q59" s="515"/>
      <c r="R59" s="550" t="str">
        <f>IF($G$13=40,"40","")</f>
        <v/>
      </c>
      <c r="S59" s="1917" t="str">
        <f>IF($R$59="","",$G$9)</f>
        <v/>
      </c>
      <c r="T59" s="1919"/>
      <c r="U59" s="551" t="str">
        <f>IF($R$59="","",$G$9*$G$11)</f>
        <v/>
      </c>
      <c r="V59" s="1920" t="str">
        <f>IF($G$13=40,$G$9,"")</f>
        <v/>
      </c>
      <c r="W59" s="1921"/>
      <c r="X59" s="552" t="str">
        <f>IF($R$59="","",SUM($U$59:$W$59))</f>
        <v/>
      </c>
    </row>
    <row r="63" spans="1:24">
      <c r="A63" s="121"/>
      <c r="D63" s="1943" t="s">
        <v>678</v>
      </c>
      <c r="E63" s="1943"/>
      <c r="F63" s="1944"/>
      <c r="G63" s="1941">
        <v>0</v>
      </c>
      <c r="H63" s="1942"/>
    </row>
    <row r="64" spans="1:24" ht="17.25">
      <c r="A64" s="121"/>
      <c r="D64" s="658"/>
      <c r="E64" s="629"/>
      <c r="F64" s="629"/>
    </row>
    <row r="65" spans="1:24">
      <c r="A65" s="121"/>
      <c r="D65" s="1943" t="s">
        <v>569</v>
      </c>
      <c r="E65" s="1943"/>
      <c r="F65" s="1944"/>
      <c r="G65" s="1939">
        <v>0</v>
      </c>
      <c r="H65" s="1940"/>
    </row>
    <row r="66" spans="1:24" ht="17.25">
      <c r="A66" s="121"/>
      <c r="D66" s="658"/>
      <c r="E66" s="629"/>
      <c r="F66" s="629"/>
    </row>
    <row r="67" spans="1:24">
      <c r="A67" s="121"/>
      <c r="D67" s="1943" t="s">
        <v>679</v>
      </c>
      <c r="E67" s="1943"/>
      <c r="F67" s="1944"/>
      <c r="G67" s="1937">
        <v>0</v>
      </c>
      <c r="H67" s="1938"/>
    </row>
    <row r="68" spans="1:24">
      <c r="A68" s="121"/>
      <c r="D68" s="916"/>
      <c r="E68" s="916"/>
      <c r="F68" s="917"/>
      <c r="G68" s="420"/>
      <c r="H68" s="420"/>
    </row>
    <row r="69" spans="1:24">
      <c r="A69" s="121"/>
      <c r="D69" s="1959" t="s">
        <v>681</v>
      </c>
      <c r="E69" s="1959"/>
      <c r="F69" s="1959"/>
      <c r="G69" s="1953"/>
      <c r="H69" s="1954"/>
    </row>
    <row r="71" spans="1:24" ht="16.5" customHeight="1">
      <c r="B71" s="2275" t="s">
        <v>522</v>
      </c>
      <c r="C71" s="2276"/>
      <c r="D71" s="2276"/>
      <c r="E71" s="2276"/>
      <c r="F71" s="2276"/>
      <c r="G71" s="2276"/>
      <c r="H71" s="2277"/>
      <c r="J71" s="2284" t="s">
        <v>523</v>
      </c>
      <c r="K71" s="2285"/>
      <c r="L71" s="2285"/>
      <c r="M71" s="2285"/>
      <c r="N71" s="2285"/>
      <c r="O71" s="2285"/>
      <c r="P71" s="2286"/>
      <c r="Q71" s="506"/>
      <c r="R71" s="2295" t="s">
        <v>529</v>
      </c>
      <c r="S71" s="2296"/>
      <c r="T71" s="2296"/>
      <c r="U71" s="2296"/>
      <c r="V71" s="2296"/>
      <c r="W71" s="2296"/>
      <c r="X71" s="2297"/>
    </row>
    <row r="72" spans="1:24" ht="16.5" customHeight="1">
      <c r="B72" s="2278"/>
      <c r="C72" s="2279"/>
      <c r="D72" s="2280" t="s">
        <v>555</v>
      </c>
      <c r="E72" s="2280"/>
      <c r="F72" s="2281">
        <f>SUM($H$74:$H$113)</f>
        <v>0</v>
      </c>
      <c r="G72" s="2282"/>
      <c r="H72" s="2283"/>
      <c r="J72" s="2287"/>
      <c r="K72" s="2288" t="s">
        <v>555</v>
      </c>
      <c r="L72" s="2288"/>
      <c r="M72" s="2289">
        <f>SUM($P$74:$P$113)</f>
        <v>0</v>
      </c>
      <c r="N72" s="2290"/>
      <c r="O72" s="2291"/>
      <c r="P72" s="2292"/>
      <c r="Q72" s="507"/>
      <c r="R72" s="2298"/>
      <c r="S72" s="2299"/>
      <c r="T72" s="2300" t="s">
        <v>555</v>
      </c>
      <c r="U72" s="2300"/>
      <c r="V72" s="2301">
        <f>SUM($X$74:$X$113)</f>
        <v>0</v>
      </c>
      <c r="W72" s="2302"/>
      <c r="X72" s="2303"/>
    </row>
    <row r="73" spans="1:24" ht="16.5" customHeight="1">
      <c r="B73" s="526" t="s">
        <v>524</v>
      </c>
      <c r="C73" s="1931" t="s">
        <v>525</v>
      </c>
      <c r="D73" s="1932"/>
      <c r="E73" s="527" t="s">
        <v>526</v>
      </c>
      <c r="F73" s="1933" t="s">
        <v>527</v>
      </c>
      <c r="G73" s="1934"/>
      <c r="H73" s="528" t="s">
        <v>528</v>
      </c>
      <c r="I73" s="508"/>
      <c r="J73" s="509" t="s">
        <v>524</v>
      </c>
      <c r="K73" s="1935" t="s">
        <v>525</v>
      </c>
      <c r="L73" s="1935"/>
      <c r="M73" s="915" t="s">
        <v>526</v>
      </c>
      <c r="N73" s="1936" t="s">
        <v>527</v>
      </c>
      <c r="O73" s="1936"/>
      <c r="P73" s="510" t="s">
        <v>528</v>
      </c>
      <c r="Q73" s="511"/>
      <c r="R73" s="509" t="s">
        <v>524</v>
      </c>
      <c r="S73" s="1935" t="s">
        <v>525</v>
      </c>
      <c r="T73" s="1935"/>
      <c r="U73" s="915" t="s">
        <v>526</v>
      </c>
      <c r="V73" s="1936" t="s">
        <v>527</v>
      </c>
      <c r="W73" s="1936"/>
      <c r="X73" s="510" t="s">
        <v>528</v>
      </c>
    </row>
    <row r="74" spans="1:24">
      <c r="A74" s="640">
        <f>$G$69+1</f>
        <v>1</v>
      </c>
      <c r="B74" s="638" t="str">
        <f>IF($G$67&gt;=1,"1","")</f>
        <v/>
      </c>
      <c r="C74" s="1922">
        <f>$G$63</f>
        <v>0</v>
      </c>
      <c r="D74" s="1923"/>
      <c r="E74" s="529" t="str">
        <f>IF(B74="","",C74*$G$65)</f>
        <v/>
      </c>
      <c r="F74" s="1924" t="str">
        <f>IF(B74="","",H74-E74)</f>
        <v/>
      </c>
      <c r="G74" s="1925"/>
      <c r="H74" s="530" t="str">
        <f>IF(B74="","",$G$63*$G$65/(1-(1+$G$65)^-$G$67))</f>
        <v/>
      </c>
      <c r="J74" s="512" t="str">
        <f>IF($G$67&gt;=1,"1","")</f>
        <v/>
      </c>
      <c r="K74" s="1926">
        <f>G63</f>
        <v>0</v>
      </c>
      <c r="L74" s="1927"/>
      <c r="M74" s="513" t="str">
        <f>IF(J74="","",K74*$G$65)</f>
        <v/>
      </c>
      <c r="N74" s="1926" t="e">
        <f>IF(K74="","",$K$74/$G$67)</f>
        <v>#DIV/0!</v>
      </c>
      <c r="O74" s="1927"/>
      <c r="P74" s="514" t="str">
        <f>IF(J74="","",M74+N74)</f>
        <v/>
      </c>
      <c r="Q74" s="515"/>
      <c r="R74" s="516" t="str">
        <f>IF($G$67&gt;=1,"1","")</f>
        <v/>
      </c>
      <c r="S74" s="1926" t="str">
        <f>IF(R74="","",$G$63)</f>
        <v/>
      </c>
      <c r="T74" s="1928"/>
      <c r="U74" s="513" t="str">
        <f>IF(R74="","",$G$63*$G$65)</f>
        <v/>
      </c>
      <c r="V74" s="1929" t="str">
        <f>IF($G$67=1,$G$63,"")</f>
        <v/>
      </c>
      <c r="W74" s="1930"/>
      <c r="X74" s="514" t="str">
        <f>IF(R74="","",SUM(U74:W74))</f>
        <v/>
      </c>
    </row>
    <row r="75" spans="1:24">
      <c r="A75" s="640">
        <f>A74+1</f>
        <v>2</v>
      </c>
      <c r="B75" s="517" t="str">
        <f>IF($G$67&gt;=2,"2","")</f>
        <v/>
      </c>
      <c r="C75" s="1906" t="str">
        <f>IF(B75="","",C74-F74)</f>
        <v/>
      </c>
      <c r="D75" s="1907"/>
      <c r="E75" s="531" t="str">
        <f t="shared" ref="E75:E113" si="1">IF(B75="","",C75*$G$65)</f>
        <v/>
      </c>
      <c r="F75" s="1908" t="str">
        <f t="shared" ref="F75:F113" si="2">IF(B75="","",H75-E75)</f>
        <v/>
      </c>
      <c r="G75" s="1909"/>
      <c r="H75" s="532" t="str">
        <f t="shared" ref="H75:H113" si="3">IF(B75="","",$G$63*$G$65/(1-(1+$G$65)^-$G$67))</f>
        <v/>
      </c>
      <c r="J75" s="517" t="str">
        <f>IF($G$67&gt;=2,"2","")</f>
        <v/>
      </c>
      <c r="K75" s="1904" t="str">
        <f>IF(J75="","",K74-N74)</f>
        <v/>
      </c>
      <c r="L75" s="1905"/>
      <c r="M75" s="518" t="str">
        <f t="shared" ref="M75:M113" si="4">IF(J75="","",K75*$G$65)</f>
        <v/>
      </c>
      <c r="N75" s="1904" t="str">
        <f t="shared" ref="N75:N113" si="5">IF(K75="","",$K$74/$G$67)</f>
        <v/>
      </c>
      <c r="O75" s="1905"/>
      <c r="P75" s="519" t="str">
        <f t="shared" ref="P75:P113" si="6">IF(J75="","",M75+N75)</f>
        <v/>
      </c>
      <c r="Q75" s="515"/>
      <c r="R75" s="520" t="str">
        <f>IF($G$67&gt;=2,"2","")</f>
        <v/>
      </c>
      <c r="S75" s="1904" t="str">
        <f t="shared" ref="S75:S113" si="7">IF(R75="","",$G$63)</f>
        <v/>
      </c>
      <c r="T75" s="1910"/>
      <c r="U75" s="518" t="str">
        <f t="shared" ref="U75:U113" si="8">IF(R75="","",$G$63*$G$65)</f>
        <v/>
      </c>
      <c r="V75" s="1911" t="str">
        <f>IF($G$67=2,$G$63,"")</f>
        <v/>
      </c>
      <c r="W75" s="1912"/>
      <c r="X75" s="519" t="str">
        <f t="shared" ref="X75:X113" si="9">IF(R75="","",SUM(U75:W75))</f>
        <v/>
      </c>
    </row>
    <row r="76" spans="1:24">
      <c r="A76" s="640">
        <f t="shared" ref="A76:A113" si="10">A75+1</f>
        <v>3</v>
      </c>
      <c r="B76" s="517" t="str">
        <f>IF($G$67&gt;=3,"3","")</f>
        <v/>
      </c>
      <c r="C76" s="1906" t="str">
        <f t="shared" ref="C76:C113" si="11">IF(B76="","",C75-F75)</f>
        <v/>
      </c>
      <c r="D76" s="1907"/>
      <c r="E76" s="531" t="str">
        <f t="shared" si="1"/>
        <v/>
      </c>
      <c r="F76" s="1908" t="str">
        <f t="shared" si="2"/>
        <v/>
      </c>
      <c r="G76" s="1909"/>
      <c r="H76" s="532" t="str">
        <f t="shared" si="3"/>
        <v/>
      </c>
      <c r="J76" s="517" t="str">
        <f>IF($G$67&gt;=3,"3","")</f>
        <v/>
      </c>
      <c r="K76" s="1904" t="str">
        <f t="shared" ref="K76:K113" si="12">IF(J76="","",K75-N75)</f>
        <v/>
      </c>
      <c r="L76" s="1905"/>
      <c r="M76" s="518" t="str">
        <f t="shared" si="4"/>
        <v/>
      </c>
      <c r="N76" s="1904" t="str">
        <f t="shared" si="5"/>
        <v/>
      </c>
      <c r="O76" s="1905"/>
      <c r="P76" s="519" t="str">
        <f t="shared" si="6"/>
        <v/>
      </c>
      <c r="Q76" s="515"/>
      <c r="R76" s="520" t="str">
        <f>IF($G$67&gt;=3,"3","")</f>
        <v/>
      </c>
      <c r="S76" s="1904" t="str">
        <f t="shared" si="7"/>
        <v/>
      </c>
      <c r="T76" s="1910"/>
      <c r="U76" s="518" t="str">
        <f t="shared" si="8"/>
        <v/>
      </c>
      <c r="V76" s="1911" t="str">
        <f>IF($G$67=3,$G$63,"")</f>
        <v/>
      </c>
      <c r="W76" s="1912"/>
      <c r="X76" s="519" t="str">
        <f t="shared" si="9"/>
        <v/>
      </c>
    </row>
    <row r="77" spans="1:24">
      <c r="A77" s="640">
        <f t="shared" si="10"/>
        <v>4</v>
      </c>
      <c r="B77" s="517" t="str">
        <f>IF($G$67&gt;=4,"4","")</f>
        <v/>
      </c>
      <c r="C77" s="1906" t="str">
        <f t="shared" si="11"/>
        <v/>
      </c>
      <c r="D77" s="1907"/>
      <c r="E77" s="531" t="str">
        <f t="shared" si="1"/>
        <v/>
      </c>
      <c r="F77" s="1908" t="str">
        <f t="shared" si="2"/>
        <v/>
      </c>
      <c r="G77" s="1909"/>
      <c r="H77" s="532" t="str">
        <f t="shared" si="3"/>
        <v/>
      </c>
      <c r="J77" s="517" t="str">
        <f>IF($G$67&gt;=4,"4","")</f>
        <v/>
      </c>
      <c r="K77" s="1904" t="str">
        <f t="shared" si="12"/>
        <v/>
      </c>
      <c r="L77" s="1905"/>
      <c r="M77" s="518" t="str">
        <f t="shared" si="4"/>
        <v/>
      </c>
      <c r="N77" s="1904" t="str">
        <f t="shared" si="5"/>
        <v/>
      </c>
      <c r="O77" s="1905"/>
      <c r="P77" s="519" t="str">
        <f t="shared" si="6"/>
        <v/>
      </c>
      <c r="Q77" s="515"/>
      <c r="R77" s="520" t="str">
        <f>IF($G$67&gt;=4,"4","")</f>
        <v/>
      </c>
      <c r="S77" s="1904" t="str">
        <f t="shared" si="7"/>
        <v/>
      </c>
      <c r="T77" s="1910"/>
      <c r="U77" s="518" t="str">
        <f t="shared" si="8"/>
        <v/>
      </c>
      <c r="V77" s="1911" t="str">
        <f>IF($G$67=4,$G$63,"")</f>
        <v/>
      </c>
      <c r="W77" s="1912"/>
      <c r="X77" s="519" t="str">
        <f t="shared" si="9"/>
        <v/>
      </c>
    </row>
    <row r="78" spans="1:24">
      <c r="A78" s="640">
        <f t="shared" si="10"/>
        <v>5</v>
      </c>
      <c r="B78" s="517" t="str">
        <f>IF($G$67&gt;=5,"5","")</f>
        <v/>
      </c>
      <c r="C78" s="1906" t="str">
        <f t="shared" si="11"/>
        <v/>
      </c>
      <c r="D78" s="1907"/>
      <c r="E78" s="531" t="str">
        <f t="shared" si="1"/>
        <v/>
      </c>
      <c r="F78" s="1908" t="str">
        <f t="shared" si="2"/>
        <v/>
      </c>
      <c r="G78" s="1909"/>
      <c r="H78" s="532" t="str">
        <f t="shared" si="3"/>
        <v/>
      </c>
      <c r="J78" s="517" t="str">
        <f>IF($G$67&gt;=5,"5","")</f>
        <v/>
      </c>
      <c r="K78" s="1904" t="str">
        <f t="shared" si="12"/>
        <v/>
      </c>
      <c r="L78" s="1905"/>
      <c r="M78" s="518" t="str">
        <f t="shared" si="4"/>
        <v/>
      </c>
      <c r="N78" s="1904" t="str">
        <f t="shared" si="5"/>
        <v/>
      </c>
      <c r="O78" s="1905"/>
      <c r="P78" s="519" t="str">
        <f t="shared" si="6"/>
        <v/>
      </c>
      <c r="Q78" s="515"/>
      <c r="R78" s="520" t="str">
        <f>IF($G$67&gt;=5,"5","")</f>
        <v/>
      </c>
      <c r="S78" s="1904" t="str">
        <f t="shared" si="7"/>
        <v/>
      </c>
      <c r="T78" s="1910"/>
      <c r="U78" s="518" t="str">
        <f t="shared" si="8"/>
        <v/>
      </c>
      <c r="V78" s="1911" t="str">
        <f>IF($G$67=5,$G$63,"")</f>
        <v/>
      </c>
      <c r="W78" s="1912"/>
      <c r="X78" s="519" t="str">
        <f t="shared" si="9"/>
        <v/>
      </c>
    </row>
    <row r="79" spans="1:24">
      <c r="A79" s="640">
        <f t="shared" si="10"/>
        <v>6</v>
      </c>
      <c r="B79" s="517" t="str">
        <f>IF($G$67&gt;=6,"6","")</f>
        <v/>
      </c>
      <c r="C79" s="1906" t="str">
        <f t="shared" si="11"/>
        <v/>
      </c>
      <c r="D79" s="1907"/>
      <c r="E79" s="531" t="str">
        <f t="shared" si="1"/>
        <v/>
      </c>
      <c r="F79" s="1908" t="str">
        <f t="shared" si="2"/>
        <v/>
      </c>
      <c r="G79" s="1909"/>
      <c r="H79" s="532" t="str">
        <f t="shared" si="3"/>
        <v/>
      </c>
      <c r="J79" s="517" t="str">
        <f>IF($G$67&gt;=6,"6","")</f>
        <v/>
      </c>
      <c r="K79" s="1904" t="str">
        <f t="shared" si="12"/>
        <v/>
      </c>
      <c r="L79" s="1905"/>
      <c r="M79" s="518" t="str">
        <f t="shared" si="4"/>
        <v/>
      </c>
      <c r="N79" s="1904" t="str">
        <f t="shared" si="5"/>
        <v/>
      </c>
      <c r="O79" s="1905"/>
      <c r="P79" s="519" t="str">
        <f t="shared" si="6"/>
        <v/>
      </c>
      <c r="Q79" s="515"/>
      <c r="R79" s="520" t="str">
        <f>IF($G$67&gt;=6,"6","")</f>
        <v/>
      </c>
      <c r="S79" s="1904" t="str">
        <f t="shared" si="7"/>
        <v/>
      </c>
      <c r="T79" s="1910"/>
      <c r="U79" s="518" t="str">
        <f t="shared" si="8"/>
        <v/>
      </c>
      <c r="V79" s="1911" t="str">
        <f>IF($G$67=6,$G$63,"")</f>
        <v/>
      </c>
      <c r="W79" s="1912"/>
      <c r="X79" s="519" t="str">
        <f t="shared" si="9"/>
        <v/>
      </c>
    </row>
    <row r="80" spans="1:24">
      <c r="A80" s="640">
        <f t="shared" si="10"/>
        <v>7</v>
      </c>
      <c r="B80" s="517" t="str">
        <f>IF($G$67&gt;=7,"7","")</f>
        <v/>
      </c>
      <c r="C80" s="1906" t="str">
        <f t="shared" si="11"/>
        <v/>
      </c>
      <c r="D80" s="1907"/>
      <c r="E80" s="531" t="str">
        <f t="shared" si="1"/>
        <v/>
      </c>
      <c r="F80" s="1908" t="str">
        <f t="shared" si="2"/>
        <v/>
      </c>
      <c r="G80" s="1909"/>
      <c r="H80" s="532" t="str">
        <f t="shared" si="3"/>
        <v/>
      </c>
      <c r="J80" s="517" t="str">
        <f>IF($G$67&gt;=7,"7","")</f>
        <v/>
      </c>
      <c r="K80" s="1904" t="str">
        <f t="shared" si="12"/>
        <v/>
      </c>
      <c r="L80" s="1905"/>
      <c r="M80" s="518" t="str">
        <f t="shared" si="4"/>
        <v/>
      </c>
      <c r="N80" s="1904" t="str">
        <f t="shared" si="5"/>
        <v/>
      </c>
      <c r="O80" s="1905"/>
      <c r="P80" s="519" t="str">
        <f t="shared" si="6"/>
        <v/>
      </c>
      <c r="Q80" s="515"/>
      <c r="R80" s="520" t="str">
        <f>IF($G$67&gt;=7,"7","")</f>
        <v/>
      </c>
      <c r="S80" s="1904" t="str">
        <f t="shared" si="7"/>
        <v/>
      </c>
      <c r="T80" s="1910"/>
      <c r="U80" s="518" t="str">
        <f t="shared" si="8"/>
        <v/>
      </c>
      <c r="V80" s="1911" t="str">
        <f>IF($G$67=7,$G$63,"")</f>
        <v/>
      </c>
      <c r="W80" s="1912"/>
      <c r="X80" s="519" t="str">
        <f t="shared" si="9"/>
        <v/>
      </c>
    </row>
    <row r="81" spans="1:24">
      <c r="A81" s="640">
        <f t="shared" si="10"/>
        <v>8</v>
      </c>
      <c r="B81" s="517" t="str">
        <f>IF($G$67&gt;=8,"8","")</f>
        <v/>
      </c>
      <c r="C81" s="1906" t="str">
        <f t="shared" si="11"/>
        <v/>
      </c>
      <c r="D81" s="1907"/>
      <c r="E81" s="531" t="str">
        <f t="shared" si="1"/>
        <v/>
      </c>
      <c r="F81" s="1908" t="str">
        <f t="shared" si="2"/>
        <v/>
      </c>
      <c r="G81" s="1909"/>
      <c r="H81" s="532" t="str">
        <f t="shared" si="3"/>
        <v/>
      </c>
      <c r="J81" s="517" t="str">
        <f>IF($G$67&gt;=8,"8","")</f>
        <v/>
      </c>
      <c r="K81" s="1904" t="str">
        <f t="shared" si="12"/>
        <v/>
      </c>
      <c r="L81" s="1905"/>
      <c r="M81" s="518" t="str">
        <f t="shared" si="4"/>
        <v/>
      </c>
      <c r="N81" s="1904" t="str">
        <f t="shared" si="5"/>
        <v/>
      </c>
      <c r="O81" s="1905"/>
      <c r="P81" s="519" t="str">
        <f t="shared" si="6"/>
        <v/>
      </c>
      <c r="Q81" s="515"/>
      <c r="R81" s="520" t="str">
        <f>IF($G$67&gt;=8,"8","")</f>
        <v/>
      </c>
      <c r="S81" s="1904" t="str">
        <f t="shared" si="7"/>
        <v/>
      </c>
      <c r="T81" s="1910"/>
      <c r="U81" s="518" t="str">
        <f t="shared" si="8"/>
        <v/>
      </c>
      <c r="V81" s="1911" t="str">
        <f>IF($G$67=8,$G$63,"")</f>
        <v/>
      </c>
      <c r="W81" s="1912"/>
      <c r="X81" s="519" t="str">
        <f t="shared" si="9"/>
        <v/>
      </c>
    </row>
    <row r="82" spans="1:24">
      <c r="A82" s="640">
        <f t="shared" si="10"/>
        <v>9</v>
      </c>
      <c r="B82" s="517" t="str">
        <f>IF($G$67&gt;=9,"9","")</f>
        <v/>
      </c>
      <c r="C82" s="1906" t="str">
        <f t="shared" si="11"/>
        <v/>
      </c>
      <c r="D82" s="1907"/>
      <c r="E82" s="531" t="str">
        <f t="shared" si="1"/>
        <v/>
      </c>
      <c r="F82" s="1908" t="str">
        <f t="shared" si="2"/>
        <v/>
      </c>
      <c r="G82" s="1909"/>
      <c r="H82" s="532" t="str">
        <f t="shared" si="3"/>
        <v/>
      </c>
      <c r="J82" s="517" t="str">
        <f>IF($G$67&gt;=9,"9","")</f>
        <v/>
      </c>
      <c r="K82" s="1904" t="str">
        <f t="shared" si="12"/>
        <v/>
      </c>
      <c r="L82" s="1905"/>
      <c r="M82" s="518" t="str">
        <f t="shared" si="4"/>
        <v/>
      </c>
      <c r="N82" s="1904" t="str">
        <f t="shared" si="5"/>
        <v/>
      </c>
      <c r="O82" s="1905"/>
      <c r="P82" s="519" t="str">
        <f t="shared" si="6"/>
        <v/>
      </c>
      <c r="Q82" s="515"/>
      <c r="R82" s="520" t="str">
        <f>IF($G$67&gt;=9,"9","")</f>
        <v/>
      </c>
      <c r="S82" s="1904" t="str">
        <f t="shared" si="7"/>
        <v/>
      </c>
      <c r="T82" s="1910"/>
      <c r="U82" s="518" t="str">
        <f t="shared" si="8"/>
        <v/>
      </c>
      <c r="V82" s="1911" t="str">
        <f>IF($G$67=9,$G$63,"")</f>
        <v/>
      </c>
      <c r="W82" s="1912"/>
      <c r="X82" s="519" t="str">
        <f t="shared" si="9"/>
        <v/>
      </c>
    </row>
    <row r="83" spans="1:24">
      <c r="A83" s="640">
        <f t="shared" si="10"/>
        <v>10</v>
      </c>
      <c r="B83" s="517" t="str">
        <f>IF($G$67&gt;=10,"10","")</f>
        <v/>
      </c>
      <c r="C83" s="1906" t="str">
        <f t="shared" si="11"/>
        <v/>
      </c>
      <c r="D83" s="1907"/>
      <c r="E83" s="531" t="str">
        <f t="shared" si="1"/>
        <v/>
      </c>
      <c r="F83" s="1908" t="str">
        <f t="shared" si="2"/>
        <v/>
      </c>
      <c r="G83" s="1909"/>
      <c r="H83" s="532" t="str">
        <f t="shared" si="3"/>
        <v/>
      </c>
      <c r="J83" s="517" t="str">
        <f>IF($G$67&gt;=10,"10","")</f>
        <v/>
      </c>
      <c r="K83" s="1904" t="str">
        <f t="shared" si="12"/>
        <v/>
      </c>
      <c r="L83" s="1905"/>
      <c r="M83" s="518" t="str">
        <f t="shared" si="4"/>
        <v/>
      </c>
      <c r="N83" s="1904" t="str">
        <f t="shared" si="5"/>
        <v/>
      </c>
      <c r="O83" s="1905"/>
      <c r="P83" s="519" t="str">
        <f t="shared" si="6"/>
        <v/>
      </c>
      <c r="Q83" s="515"/>
      <c r="R83" s="520" t="str">
        <f>IF($G$67&gt;=10,"10","")</f>
        <v/>
      </c>
      <c r="S83" s="1904" t="str">
        <f t="shared" si="7"/>
        <v/>
      </c>
      <c r="T83" s="1910"/>
      <c r="U83" s="518" t="str">
        <f t="shared" si="8"/>
        <v/>
      </c>
      <c r="V83" s="1911" t="str">
        <f>IF($G$67=10,$G$63,"")</f>
        <v/>
      </c>
      <c r="W83" s="1912"/>
      <c r="X83" s="519" t="str">
        <f t="shared" si="9"/>
        <v/>
      </c>
    </row>
    <row r="84" spans="1:24">
      <c r="A84" s="640">
        <f t="shared" si="10"/>
        <v>11</v>
      </c>
      <c r="B84" s="517" t="str">
        <f>IF($G$67&gt;=11,"11","")</f>
        <v/>
      </c>
      <c r="C84" s="1906" t="str">
        <f t="shared" si="11"/>
        <v/>
      </c>
      <c r="D84" s="1907"/>
      <c r="E84" s="531" t="str">
        <f t="shared" si="1"/>
        <v/>
      </c>
      <c r="F84" s="1908" t="str">
        <f t="shared" si="2"/>
        <v/>
      </c>
      <c r="G84" s="1909"/>
      <c r="H84" s="532" t="str">
        <f t="shared" si="3"/>
        <v/>
      </c>
      <c r="J84" s="517" t="str">
        <f>IF($G$67&gt;=11,"11","")</f>
        <v/>
      </c>
      <c r="K84" s="1904" t="str">
        <f t="shared" si="12"/>
        <v/>
      </c>
      <c r="L84" s="1905"/>
      <c r="M84" s="518" t="str">
        <f t="shared" si="4"/>
        <v/>
      </c>
      <c r="N84" s="1904" t="str">
        <f t="shared" si="5"/>
        <v/>
      </c>
      <c r="O84" s="1905"/>
      <c r="P84" s="519" t="str">
        <f t="shared" si="6"/>
        <v/>
      </c>
      <c r="Q84" s="515"/>
      <c r="R84" s="520" t="str">
        <f>IF($G$67&gt;=11,"11","")</f>
        <v/>
      </c>
      <c r="S84" s="1904" t="str">
        <f t="shared" si="7"/>
        <v/>
      </c>
      <c r="T84" s="1910"/>
      <c r="U84" s="518" t="str">
        <f t="shared" si="8"/>
        <v/>
      </c>
      <c r="V84" s="1911" t="str">
        <f>IF($G$67=11,$G$63,"")</f>
        <v/>
      </c>
      <c r="W84" s="1912"/>
      <c r="X84" s="519" t="str">
        <f t="shared" si="9"/>
        <v/>
      </c>
    </row>
    <row r="85" spans="1:24">
      <c r="A85" s="640">
        <f t="shared" si="10"/>
        <v>12</v>
      </c>
      <c r="B85" s="517" t="str">
        <f>IF($G$67&gt;=12,"12","")</f>
        <v/>
      </c>
      <c r="C85" s="1906" t="str">
        <f t="shared" si="11"/>
        <v/>
      </c>
      <c r="D85" s="1907"/>
      <c r="E85" s="531" t="str">
        <f t="shared" si="1"/>
        <v/>
      </c>
      <c r="F85" s="1908" t="str">
        <f t="shared" si="2"/>
        <v/>
      </c>
      <c r="G85" s="1909"/>
      <c r="H85" s="532" t="str">
        <f t="shared" si="3"/>
        <v/>
      </c>
      <c r="J85" s="517" t="str">
        <f>IF($G$67&gt;=12,"12","")</f>
        <v/>
      </c>
      <c r="K85" s="1904" t="str">
        <f t="shared" si="12"/>
        <v/>
      </c>
      <c r="L85" s="1905"/>
      <c r="M85" s="518" t="str">
        <f t="shared" si="4"/>
        <v/>
      </c>
      <c r="N85" s="1904" t="str">
        <f t="shared" si="5"/>
        <v/>
      </c>
      <c r="O85" s="1905"/>
      <c r="P85" s="519" t="str">
        <f t="shared" si="6"/>
        <v/>
      </c>
      <c r="Q85" s="515"/>
      <c r="R85" s="520" t="str">
        <f>IF($G$67&gt;=12,"12","")</f>
        <v/>
      </c>
      <c r="S85" s="1904" t="str">
        <f t="shared" si="7"/>
        <v/>
      </c>
      <c r="T85" s="1910"/>
      <c r="U85" s="518" t="str">
        <f t="shared" si="8"/>
        <v/>
      </c>
      <c r="V85" s="1911" t="str">
        <f>IF($G$67=12,$G$63,"")</f>
        <v/>
      </c>
      <c r="W85" s="1912"/>
      <c r="X85" s="519" t="str">
        <f t="shared" si="9"/>
        <v/>
      </c>
    </row>
    <row r="86" spans="1:24">
      <c r="A86" s="640">
        <f t="shared" si="10"/>
        <v>13</v>
      </c>
      <c r="B86" s="517" t="str">
        <f>IF($G$67&gt;=13,"13","")</f>
        <v/>
      </c>
      <c r="C86" s="1906" t="str">
        <f t="shared" si="11"/>
        <v/>
      </c>
      <c r="D86" s="1907"/>
      <c r="E86" s="531" t="str">
        <f t="shared" si="1"/>
        <v/>
      </c>
      <c r="F86" s="1908" t="str">
        <f t="shared" si="2"/>
        <v/>
      </c>
      <c r="G86" s="1909"/>
      <c r="H86" s="532" t="str">
        <f t="shared" si="3"/>
        <v/>
      </c>
      <c r="J86" s="517" t="str">
        <f>IF($G$67&gt;=13,"13","")</f>
        <v/>
      </c>
      <c r="K86" s="1904" t="str">
        <f t="shared" si="12"/>
        <v/>
      </c>
      <c r="L86" s="1905"/>
      <c r="M86" s="518" t="str">
        <f t="shared" si="4"/>
        <v/>
      </c>
      <c r="N86" s="1904" t="str">
        <f t="shared" si="5"/>
        <v/>
      </c>
      <c r="O86" s="1905"/>
      <c r="P86" s="519" t="str">
        <f t="shared" si="6"/>
        <v/>
      </c>
      <c r="Q86" s="515"/>
      <c r="R86" s="520" t="str">
        <f>IF($G$67&gt;=13,"13","")</f>
        <v/>
      </c>
      <c r="S86" s="1904" t="str">
        <f t="shared" si="7"/>
        <v/>
      </c>
      <c r="T86" s="1910"/>
      <c r="U86" s="518" t="str">
        <f t="shared" si="8"/>
        <v/>
      </c>
      <c r="V86" s="1911" t="str">
        <f>IF($G$67=13,$G$63,"")</f>
        <v/>
      </c>
      <c r="W86" s="1912"/>
      <c r="X86" s="519" t="str">
        <f t="shared" si="9"/>
        <v/>
      </c>
    </row>
    <row r="87" spans="1:24">
      <c r="A87" s="640">
        <f t="shared" si="10"/>
        <v>14</v>
      </c>
      <c r="B87" s="517" t="str">
        <f>IF($G$67&gt;=14,"14","")</f>
        <v/>
      </c>
      <c r="C87" s="1906" t="str">
        <f t="shared" si="11"/>
        <v/>
      </c>
      <c r="D87" s="1907"/>
      <c r="E87" s="531" t="str">
        <f t="shared" si="1"/>
        <v/>
      </c>
      <c r="F87" s="1908" t="str">
        <f t="shared" si="2"/>
        <v/>
      </c>
      <c r="G87" s="1909"/>
      <c r="H87" s="532" t="str">
        <f t="shared" si="3"/>
        <v/>
      </c>
      <c r="J87" s="517" t="str">
        <f>IF($G$67&gt;=14,"14","")</f>
        <v/>
      </c>
      <c r="K87" s="1904" t="str">
        <f t="shared" si="12"/>
        <v/>
      </c>
      <c r="L87" s="1905"/>
      <c r="M87" s="518" t="str">
        <f t="shared" si="4"/>
        <v/>
      </c>
      <c r="N87" s="1904" t="str">
        <f t="shared" si="5"/>
        <v/>
      </c>
      <c r="O87" s="1905"/>
      <c r="P87" s="519" t="str">
        <f t="shared" si="6"/>
        <v/>
      </c>
      <c r="Q87" s="515"/>
      <c r="R87" s="520" t="str">
        <f>IF($G$67&gt;=14,"14","")</f>
        <v/>
      </c>
      <c r="S87" s="1904" t="str">
        <f t="shared" si="7"/>
        <v/>
      </c>
      <c r="T87" s="1910"/>
      <c r="U87" s="518" t="str">
        <f t="shared" si="8"/>
        <v/>
      </c>
      <c r="V87" s="1911" t="str">
        <f>IF($G$67=14,$G$63,"")</f>
        <v/>
      </c>
      <c r="W87" s="1912"/>
      <c r="X87" s="519" t="str">
        <f t="shared" si="9"/>
        <v/>
      </c>
    </row>
    <row r="88" spans="1:24">
      <c r="A88" s="640">
        <f t="shared" si="10"/>
        <v>15</v>
      </c>
      <c r="B88" s="517" t="str">
        <f>IF($G$67&gt;=15,"15","")</f>
        <v/>
      </c>
      <c r="C88" s="1906" t="str">
        <f t="shared" si="11"/>
        <v/>
      </c>
      <c r="D88" s="1907"/>
      <c r="E88" s="531" t="str">
        <f t="shared" si="1"/>
        <v/>
      </c>
      <c r="F88" s="1908" t="str">
        <f t="shared" si="2"/>
        <v/>
      </c>
      <c r="G88" s="1909"/>
      <c r="H88" s="532" t="str">
        <f t="shared" si="3"/>
        <v/>
      </c>
      <c r="J88" s="517" t="str">
        <f>IF($G$67&gt;=15,"15","")</f>
        <v/>
      </c>
      <c r="K88" s="1904" t="str">
        <f t="shared" si="12"/>
        <v/>
      </c>
      <c r="L88" s="1905"/>
      <c r="M88" s="518" t="str">
        <f t="shared" si="4"/>
        <v/>
      </c>
      <c r="N88" s="1904" t="str">
        <f t="shared" si="5"/>
        <v/>
      </c>
      <c r="O88" s="1905"/>
      <c r="P88" s="519" t="str">
        <f t="shared" si="6"/>
        <v/>
      </c>
      <c r="Q88" s="515"/>
      <c r="R88" s="520" t="str">
        <f>IF($G$67&gt;=15,"15","")</f>
        <v/>
      </c>
      <c r="S88" s="1904" t="str">
        <f t="shared" si="7"/>
        <v/>
      </c>
      <c r="T88" s="1910"/>
      <c r="U88" s="518" t="str">
        <f t="shared" si="8"/>
        <v/>
      </c>
      <c r="V88" s="1911" t="str">
        <f>IF($G$67=15,$G$63,"")</f>
        <v/>
      </c>
      <c r="W88" s="1912"/>
      <c r="X88" s="519" t="str">
        <f t="shared" si="9"/>
        <v/>
      </c>
    </row>
    <row r="89" spans="1:24">
      <c r="A89" s="640">
        <f t="shared" si="10"/>
        <v>16</v>
      </c>
      <c r="B89" s="517" t="str">
        <f>IF($G$67&gt;=16,"16","")</f>
        <v/>
      </c>
      <c r="C89" s="1906" t="str">
        <f t="shared" si="11"/>
        <v/>
      </c>
      <c r="D89" s="1907"/>
      <c r="E89" s="531" t="str">
        <f t="shared" si="1"/>
        <v/>
      </c>
      <c r="F89" s="1908" t="str">
        <f t="shared" si="2"/>
        <v/>
      </c>
      <c r="G89" s="1909"/>
      <c r="H89" s="532" t="str">
        <f t="shared" si="3"/>
        <v/>
      </c>
      <c r="J89" s="517" t="str">
        <f>IF($G$67&gt;=16,"16","")</f>
        <v/>
      </c>
      <c r="K89" s="1904" t="str">
        <f t="shared" si="12"/>
        <v/>
      </c>
      <c r="L89" s="1905"/>
      <c r="M89" s="518" t="str">
        <f t="shared" si="4"/>
        <v/>
      </c>
      <c r="N89" s="1904" t="str">
        <f t="shared" si="5"/>
        <v/>
      </c>
      <c r="O89" s="1905"/>
      <c r="P89" s="519" t="str">
        <f t="shared" si="6"/>
        <v/>
      </c>
      <c r="Q89" s="515"/>
      <c r="R89" s="520" t="str">
        <f>IF($G$67&gt;=16,"16","")</f>
        <v/>
      </c>
      <c r="S89" s="1904" t="str">
        <f t="shared" si="7"/>
        <v/>
      </c>
      <c r="T89" s="1910"/>
      <c r="U89" s="518" t="str">
        <f t="shared" si="8"/>
        <v/>
      </c>
      <c r="V89" s="1911" t="str">
        <f>IF($G$67=16,$G$63,"")</f>
        <v/>
      </c>
      <c r="W89" s="1912"/>
      <c r="X89" s="519" t="str">
        <f t="shared" si="9"/>
        <v/>
      </c>
    </row>
    <row r="90" spans="1:24">
      <c r="A90" s="640">
        <f t="shared" si="10"/>
        <v>17</v>
      </c>
      <c r="B90" s="517" t="str">
        <f>IF($G$67&gt;=17,"17","")</f>
        <v/>
      </c>
      <c r="C90" s="1906" t="str">
        <f t="shared" si="11"/>
        <v/>
      </c>
      <c r="D90" s="1907"/>
      <c r="E90" s="531" t="str">
        <f t="shared" si="1"/>
        <v/>
      </c>
      <c r="F90" s="1908" t="str">
        <f t="shared" si="2"/>
        <v/>
      </c>
      <c r="G90" s="1909"/>
      <c r="H90" s="532" t="str">
        <f t="shared" si="3"/>
        <v/>
      </c>
      <c r="J90" s="517" t="str">
        <f>IF($G$67&gt;=17,"17","")</f>
        <v/>
      </c>
      <c r="K90" s="1904" t="str">
        <f t="shared" si="12"/>
        <v/>
      </c>
      <c r="L90" s="1905"/>
      <c r="M90" s="518" t="str">
        <f t="shared" si="4"/>
        <v/>
      </c>
      <c r="N90" s="1904" t="str">
        <f t="shared" si="5"/>
        <v/>
      </c>
      <c r="O90" s="1905"/>
      <c r="P90" s="519" t="str">
        <f t="shared" si="6"/>
        <v/>
      </c>
      <c r="Q90" s="515"/>
      <c r="R90" s="520" t="str">
        <f>IF($G$67&gt;=17,"17","")</f>
        <v/>
      </c>
      <c r="S90" s="1904" t="str">
        <f t="shared" si="7"/>
        <v/>
      </c>
      <c r="T90" s="1910"/>
      <c r="U90" s="518" t="str">
        <f t="shared" si="8"/>
        <v/>
      </c>
      <c r="V90" s="1911" t="str">
        <f>IF($G$67=17,$G$63,"")</f>
        <v/>
      </c>
      <c r="W90" s="1912"/>
      <c r="X90" s="519" t="str">
        <f t="shared" si="9"/>
        <v/>
      </c>
    </row>
    <row r="91" spans="1:24">
      <c r="A91" s="640">
        <f t="shared" si="10"/>
        <v>18</v>
      </c>
      <c r="B91" s="517" t="str">
        <f>IF($G$67&gt;=18,"18","")</f>
        <v/>
      </c>
      <c r="C91" s="1906" t="str">
        <f t="shared" si="11"/>
        <v/>
      </c>
      <c r="D91" s="1907"/>
      <c r="E91" s="531" t="str">
        <f t="shared" si="1"/>
        <v/>
      </c>
      <c r="F91" s="1908" t="str">
        <f t="shared" si="2"/>
        <v/>
      </c>
      <c r="G91" s="1909"/>
      <c r="H91" s="532" t="str">
        <f t="shared" si="3"/>
        <v/>
      </c>
      <c r="J91" s="517" t="str">
        <f>IF($G$67&gt;=18,"18","")</f>
        <v/>
      </c>
      <c r="K91" s="1904" t="str">
        <f t="shared" si="12"/>
        <v/>
      </c>
      <c r="L91" s="1905"/>
      <c r="M91" s="518" t="str">
        <f t="shared" si="4"/>
        <v/>
      </c>
      <c r="N91" s="1904" t="str">
        <f t="shared" si="5"/>
        <v/>
      </c>
      <c r="O91" s="1905"/>
      <c r="P91" s="519" t="str">
        <f t="shared" si="6"/>
        <v/>
      </c>
      <c r="Q91" s="515"/>
      <c r="R91" s="520" t="str">
        <f>IF($G$67&gt;=18,"18","")</f>
        <v/>
      </c>
      <c r="S91" s="1904" t="str">
        <f t="shared" si="7"/>
        <v/>
      </c>
      <c r="T91" s="1910"/>
      <c r="U91" s="518" t="str">
        <f t="shared" si="8"/>
        <v/>
      </c>
      <c r="V91" s="1911" t="str">
        <f>IF($G$67=18,$G$63,"")</f>
        <v/>
      </c>
      <c r="W91" s="1912"/>
      <c r="X91" s="519" t="str">
        <f t="shared" si="9"/>
        <v/>
      </c>
    </row>
    <row r="92" spans="1:24">
      <c r="A92" s="640">
        <f t="shared" si="10"/>
        <v>19</v>
      </c>
      <c r="B92" s="517" t="str">
        <f>IF($G$67&gt;=19,"19","")</f>
        <v/>
      </c>
      <c r="C92" s="1906" t="str">
        <f t="shared" si="11"/>
        <v/>
      </c>
      <c r="D92" s="1907"/>
      <c r="E92" s="531" t="str">
        <f t="shared" si="1"/>
        <v/>
      </c>
      <c r="F92" s="1908" t="str">
        <f t="shared" si="2"/>
        <v/>
      </c>
      <c r="G92" s="1909"/>
      <c r="H92" s="532" t="str">
        <f t="shared" si="3"/>
        <v/>
      </c>
      <c r="J92" s="517" t="str">
        <f>IF($G$67&gt;=19,"19","")</f>
        <v/>
      </c>
      <c r="K92" s="1904" t="str">
        <f t="shared" si="12"/>
        <v/>
      </c>
      <c r="L92" s="1905"/>
      <c r="M92" s="518" t="str">
        <f t="shared" si="4"/>
        <v/>
      </c>
      <c r="N92" s="1904" t="str">
        <f t="shared" si="5"/>
        <v/>
      </c>
      <c r="O92" s="1905"/>
      <c r="P92" s="519" t="str">
        <f t="shared" si="6"/>
        <v/>
      </c>
      <c r="Q92" s="515"/>
      <c r="R92" s="520" t="str">
        <f>IF($G$67&gt;=19,"19","")</f>
        <v/>
      </c>
      <c r="S92" s="1904" t="str">
        <f t="shared" si="7"/>
        <v/>
      </c>
      <c r="T92" s="1910"/>
      <c r="U92" s="518" t="str">
        <f t="shared" si="8"/>
        <v/>
      </c>
      <c r="V92" s="1911" t="str">
        <f>IF($G$67=19,$G$63,"")</f>
        <v/>
      </c>
      <c r="W92" s="1912"/>
      <c r="X92" s="519" t="str">
        <f t="shared" si="9"/>
        <v/>
      </c>
    </row>
    <row r="93" spans="1:24">
      <c r="A93" s="640">
        <f t="shared" si="10"/>
        <v>20</v>
      </c>
      <c r="B93" s="517" t="str">
        <f>IF($G$67&gt;=20,"20","")</f>
        <v/>
      </c>
      <c r="C93" s="1906" t="str">
        <f t="shared" si="11"/>
        <v/>
      </c>
      <c r="D93" s="1907"/>
      <c r="E93" s="531" t="str">
        <f t="shared" si="1"/>
        <v/>
      </c>
      <c r="F93" s="1908" t="str">
        <f t="shared" si="2"/>
        <v/>
      </c>
      <c r="G93" s="1909"/>
      <c r="H93" s="532" t="str">
        <f t="shared" si="3"/>
        <v/>
      </c>
      <c r="J93" s="517" t="str">
        <f>IF($G$67&gt;=20,"20","")</f>
        <v/>
      </c>
      <c r="K93" s="1904" t="str">
        <f t="shared" si="12"/>
        <v/>
      </c>
      <c r="L93" s="1905"/>
      <c r="M93" s="518" t="str">
        <f t="shared" si="4"/>
        <v/>
      </c>
      <c r="N93" s="1904" t="str">
        <f t="shared" si="5"/>
        <v/>
      </c>
      <c r="O93" s="1905"/>
      <c r="P93" s="519" t="str">
        <f t="shared" si="6"/>
        <v/>
      </c>
      <c r="Q93" s="515"/>
      <c r="R93" s="520" t="str">
        <f>IF($G$67&gt;=20,"20","")</f>
        <v/>
      </c>
      <c r="S93" s="1904" t="str">
        <f t="shared" si="7"/>
        <v/>
      </c>
      <c r="T93" s="1910"/>
      <c r="U93" s="518" t="str">
        <f t="shared" si="8"/>
        <v/>
      </c>
      <c r="V93" s="1911" t="str">
        <f>IF($G$67=20,$G$63,"")</f>
        <v/>
      </c>
      <c r="W93" s="1912"/>
      <c r="X93" s="519" t="str">
        <f t="shared" si="9"/>
        <v/>
      </c>
    </row>
    <row r="94" spans="1:24">
      <c r="A94" s="640">
        <f t="shared" si="10"/>
        <v>21</v>
      </c>
      <c r="B94" s="517" t="str">
        <f>IF($G$67&gt;=21,"21","")</f>
        <v/>
      </c>
      <c r="C94" s="1906" t="str">
        <f t="shared" si="11"/>
        <v/>
      </c>
      <c r="D94" s="1907"/>
      <c r="E94" s="531" t="str">
        <f t="shared" si="1"/>
        <v/>
      </c>
      <c r="F94" s="1908" t="str">
        <f t="shared" si="2"/>
        <v/>
      </c>
      <c r="G94" s="1909"/>
      <c r="H94" s="532" t="str">
        <f t="shared" si="3"/>
        <v/>
      </c>
      <c r="J94" s="517" t="str">
        <f>IF($G$67&gt;=21,"21","")</f>
        <v/>
      </c>
      <c r="K94" s="1904" t="str">
        <f t="shared" si="12"/>
        <v/>
      </c>
      <c r="L94" s="1905"/>
      <c r="M94" s="518" t="str">
        <f t="shared" si="4"/>
        <v/>
      </c>
      <c r="N94" s="1904" t="str">
        <f t="shared" si="5"/>
        <v/>
      </c>
      <c r="O94" s="1905"/>
      <c r="P94" s="519" t="str">
        <f t="shared" si="6"/>
        <v/>
      </c>
      <c r="Q94" s="515"/>
      <c r="R94" s="520" t="str">
        <f>IF($G$67&gt;=21,"21","")</f>
        <v/>
      </c>
      <c r="S94" s="1904" t="str">
        <f t="shared" si="7"/>
        <v/>
      </c>
      <c r="T94" s="1910"/>
      <c r="U94" s="518" t="str">
        <f t="shared" si="8"/>
        <v/>
      </c>
      <c r="V94" s="1911" t="str">
        <f>IF($G$67=21,$G$63,"")</f>
        <v/>
      </c>
      <c r="W94" s="1912"/>
      <c r="X94" s="519" t="str">
        <f t="shared" si="9"/>
        <v/>
      </c>
    </row>
    <row r="95" spans="1:24">
      <c r="A95" s="640">
        <f t="shared" si="10"/>
        <v>22</v>
      </c>
      <c r="B95" s="517" t="str">
        <f>IF($G$67&gt;=22,"22","")</f>
        <v/>
      </c>
      <c r="C95" s="1906" t="str">
        <f t="shared" si="11"/>
        <v/>
      </c>
      <c r="D95" s="1907"/>
      <c r="E95" s="531" t="str">
        <f t="shared" si="1"/>
        <v/>
      </c>
      <c r="F95" s="1908" t="str">
        <f t="shared" si="2"/>
        <v/>
      </c>
      <c r="G95" s="1909"/>
      <c r="H95" s="532" t="str">
        <f t="shared" si="3"/>
        <v/>
      </c>
      <c r="J95" s="517" t="str">
        <f>IF($G$67&gt;=22,"22","")</f>
        <v/>
      </c>
      <c r="K95" s="1904" t="str">
        <f t="shared" si="12"/>
        <v/>
      </c>
      <c r="L95" s="1905"/>
      <c r="M95" s="518" t="str">
        <f t="shared" si="4"/>
        <v/>
      </c>
      <c r="N95" s="1904" t="str">
        <f t="shared" si="5"/>
        <v/>
      </c>
      <c r="O95" s="1905"/>
      <c r="P95" s="519" t="str">
        <f t="shared" si="6"/>
        <v/>
      </c>
      <c r="Q95" s="515"/>
      <c r="R95" s="520" t="str">
        <f>IF($G$67&gt;=22,"22","")</f>
        <v/>
      </c>
      <c r="S95" s="1904" t="str">
        <f t="shared" si="7"/>
        <v/>
      </c>
      <c r="T95" s="1910"/>
      <c r="U95" s="518" t="str">
        <f t="shared" si="8"/>
        <v/>
      </c>
      <c r="V95" s="1911" t="str">
        <f>IF($G$67=22,$G$63,"")</f>
        <v/>
      </c>
      <c r="W95" s="1912"/>
      <c r="X95" s="519" t="str">
        <f t="shared" si="9"/>
        <v/>
      </c>
    </row>
    <row r="96" spans="1:24">
      <c r="A96" s="640">
        <f t="shared" si="10"/>
        <v>23</v>
      </c>
      <c r="B96" s="517" t="str">
        <f>IF($G$67&gt;=23,"23","")</f>
        <v/>
      </c>
      <c r="C96" s="1906" t="str">
        <f t="shared" si="11"/>
        <v/>
      </c>
      <c r="D96" s="1907"/>
      <c r="E96" s="531" t="str">
        <f t="shared" si="1"/>
        <v/>
      </c>
      <c r="F96" s="1908" t="str">
        <f t="shared" si="2"/>
        <v/>
      </c>
      <c r="G96" s="1909"/>
      <c r="H96" s="532" t="str">
        <f t="shared" si="3"/>
        <v/>
      </c>
      <c r="J96" s="517" t="str">
        <f>IF($G$67&gt;=23,"23","")</f>
        <v/>
      </c>
      <c r="K96" s="1904" t="str">
        <f t="shared" si="12"/>
        <v/>
      </c>
      <c r="L96" s="1905"/>
      <c r="M96" s="518" t="str">
        <f t="shared" si="4"/>
        <v/>
      </c>
      <c r="N96" s="1904" t="str">
        <f t="shared" si="5"/>
        <v/>
      </c>
      <c r="O96" s="1905"/>
      <c r="P96" s="519" t="str">
        <f t="shared" si="6"/>
        <v/>
      </c>
      <c r="Q96" s="515"/>
      <c r="R96" s="520" t="str">
        <f>IF($G$67&gt;=23,"23","")</f>
        <v/>
      </c>
      <c r="S96" s="1904" t="str">
        <f t="shared" si="7"/>
        <v/>
      </c>
      <c r="T96" s="1910"/>
      <c r="U96" s="518" t="str">
        <f t="shared" si="8"/>
        <v/>
      </c>
      <c r="V96" s="1911" t="str">
        <f>IF($G$67=23,$G$63,"")</f>
        <v/>
      </c>
      <c r="W96" s="1912"/>
      <c r="X96" s="519" t="str">
        <f t="shared" si="9"/>
        <v/>
      </c>
    </row>
    <row r="97" spans="1:24">
      <c r="A97" s="640">
        <f t="shared" si="10"/>
        <v>24</v>
      </c>
      <c r="B97" s="517" t="str">
        <f>IF($G$67&gt;=24,"24","")</f>
        <v/>
      </c>
      <c r="C97" s="1906" t="str">
        <f t="shared" si="11"/>
        <v/>
      </c>
      <c r="D97" s="1907"/>
      <c r="E97" s="531" t="str">
        <f t="shared" si="1"/>
        <v/>
      </c>
      <c r="F97" s="1908" t="str">
        <f t="shared" si="2"/>
        <v/>
      </c>
      <c r="G97" s="1909"/>
      <c r="H97" s="532" t="str">
        <f t="shared" si="3"/>
        <v/>
      </c>
      <c r="J97" s="517" t="str">
        <f>IF($G$67&gt;=24,"24","")</f>
        <v/>
      </c>
      <c r="K97" s="1904" t="str">
        <f t="shared" si="12"/>
        <v/>
      </c>
      <c r="L97" s="1905"/>
      <c r="M97" s="518" t="str">
        <f t="shared" si="4"/>
        <v/>
      </c>
      <c r="N97" s="1904" t="str">
        <f t="shared" si="5"/>
        <v/>
      </c>
      <c r="O97" s="1905"/>
      <c r="P97" s="519" t="str">
        <f t="shared" si="6"/>
        <v/>
      </c>
      <c r="Q97" s="515"/>
      <c r="R97" s="520" t="str">
        <f>IF($G$67&gt;=24,"24","")</f>
        <v/>
      </c>
      <c r="S97" s="1904" t="str">
        <f t="shared" si="7"/>
        <v/>
      </c>
      <c r="T97" s="1910"/>
      <c r="U97" s="518" t="str">
        <f t="shared" si="8"/>
        <v/>
      </c>
      <c r="V97" s="1911" t="str">
        <f>IF($G$67=24,$G$63,"")</f>
        <v/>
      </c>
      <c r="W97" s="1912"/>
      <c r="X97" s="519" t="str">
        <f t="shared" si="9"/>
        <v/>
      </c>
    </row>
    <row r="98" spans="1:24">
      <c r="A98" s="640">
        <f t="shared" si="10"/>
        <v>25</v>
      </c>
      <c r="B98" s="517" t="str">
        <f>IF($G$67&gt;=25,"25","")</f>
        <v/>
      </c>
      <c r="C98" s="1906" t="str">
        <f t="shared" si="11"/>
        <v/>
      </c>
      <c r="D98" s="1907"/>
      <c r="E98" s="531" t="str">
        <f t="shared" si="1"/>
        <v/>
      </c>
      <c r="F98" s="1908" t="str">
        <f t="shared" si="2"/>
        <v/>
      </c>
      <c r="G98" s="1909"/>
      <c r="H98" s="532" t="str">
        <f t="shared" si="3"/>
        <v/>
      </c>
      <c r="J98" s="517" t="str">
        <f>IF($G$67&gt;=25,"25","")</f>
        <v/>
      </c>
      <c r="K98" s="1904" t="str">
        <f t="shared" si="12"/>
        <v/>
      </c>
      <c r="L98" s="1905"/>
      <c r="M98" s="518" t="str">
        <f t="shared" si="4"/>
        <v/>
      </c>
      <c r="N98" s="1904" t="str">
        <f t="shared" si="5"/>
        <v/>
      </c>
      <c r="O98" s="1905"/>
      <c r="P98" s="519" t="str">
        <f t="shared" si="6"/>
        <v/>
      </c>
      <c r="Q98" s="515"/>
      <c r="R98" s="520" t="str">
        <f>IF($G$67&gt;=25,"25","")</f>
        <v/>
      </c>
      <c r="S98" s="1904" t="str">
        <f t="shared" si="7"/>
        <v/>
      </c>
      <c r="T98" s="1910"/>
      <c r="U98" s="518" t="str">
        <f t="shared" si="8"/>
        <v/>
      </c>
      <c r="V98" s="1911" t="str">
        <f>IF($G$67=25,$G$63,"")</f>
        <v/>
      </c>
      <c r="W98" s="1912"/>
      <c r="X98" s="519" t="str">
        <f t="shared" si="9"/>
        <v/>
      </c>
    </row>
    <row r="99" spans="1:24">
      <c r="A99" s="640">
        <f t="shared" si="10"/>
        <v>26</v>
      </c>
      <c r="B99" s="517" t="str">
        <f>IF($G$67&gt;=26,"26","")</f>
        <v/>
      </c>
      <c r="C99" s="1906" t="str">
        <f t="shared" si="11"/>
        <v/>
      </c>
      <c r="D99" s="1907"/>
      <c r="E99" s="531" t="str">
        <f t="shared" si="1"/>
        <v/>
      </c>
      <c r="F99" s="1908" t="str">
        <f t="shared" si="2"/>
        <v/>
      </c>
      <c r="G99" s="1909"/>
      <c r="H99" s="532" t="str">
        <f t="shared" si="3"/>
        <v/>
      </c>
      <c r="J99" s="517" t="str">
        <f>IF($G$67&gt;=26,"26","")</f>
        <v/>
      </c>
      <c r="K99" s="1904" t="str">
        <f t="shared" si="12"/>
        <v/>
      </c>
      <c r="L99" s="1905"/>
      <c r="M99" s="518" t="str">
        <f t="shared" si="4"/>
        <v/>
      </c>
      <c r="N99" s="1904" t="str">
        <f t="shared" si="5"/>
        <v/>
      </c>
      <c r="O99" s="1905"/>
      <c r="P99" s="519" t="str">
        <f t="shared" si="6"/>
        <v/>
      </c>
      <c r="Q99" s="515"/>
      <c r="R99" s="520" t="str">
        <f>IF($G$67&gt;=26,"26","")</f>
        <v/>
      </c>
      <c r="S99" s="1904" t="str">
        <f t="shared" si="7"/>
        <v/>
      </c>
      <c r="T99" s="1910"/>
      <c r="U99" s="518" t="str">
        <f t="shared" si="8"/>
        <v/>
      </c>
      <c r="V99" s="1911" t="str">
        <f>IF($G$67=26,$G$63,"")</f>
        <v/>
      </c>
      <c r="W99" s="1912"/>
      <c r="X99" s="519" t="str">
        <f t="shared" si="9"/>
        <v/>
      </c>
    </row>
    <row r="100" spans="1:24">
      <c r="A100" s="640">
        <f t="shared" si="10"/>
        <v>27</v>
      </c>
      <c r="B100" s="517" t="str">
        <f>IF($G$67&gt;=27,"27","")</f>
        <v/>
      </c>
      <c r="C100" s="1906" t="str">
        <f t="shared" si="11"/>
        <v/>
      </c>
      <c r="D100" s="1907"/>
      <c r="E100" s="531" t="str">
        <f t="shared" si="1"/>
        <v/>
      </c>
      <c r="F100" s="1908" t="str">
        <f t="shared" si="2"/>
        <v/>
      </c>
      <c r="G100" s="1909"/>
      <c r="H100" s="532" t="str">
        <f t="shared" si="3"/>
        <v/>
      </c>
      <c r="J100" s="517" t="str">
        <f>IF($G$67&gt;=27,"27","")</f>
        <v/>
      </c>
      <c r="K100" s="1904" t="str">
        <f t="shared" si="12"/>
        <v/>
      </c>
      <c r="L100" s="1905"/>
      <c r="M100" s="518" t="str">
        <f t="shared" si="4"/>
        <v/>
      </c>
      <c r="N100" s="1904" t="str">
        <f t="shared" si="5"/>
        <v/>
      </c>
      <c r="O100" s="1905"/>
      <c r="P100" s="519" t="str">
        <f t="shared" si="6"/>
        <v/>
      </c>
      <c r="Q100" s="515"/>
      <c r="R100" s="520" t="str">
        <f>IF($G$67&gt;=27,"27","")</f>
        <v/>
      </c>
      <c r="S100" s="1904" t="str">
        <f t="shared" si="7"/>
        <v/>
      </c>
      <c r="T100" s="1910"/>
      <c r="U100" s="518" t="str">
        <f t="shared" si="8"/>
        <v/>
      </c>
      <c r="V100" s="1911" t="str">
        <f>IF($G$67=27,$G$63,"")</f>
        <v/>
      </c>
      <c r="W100" s="1912"/>
      <c r="X100" s="519" t="str">
        <f t="shared" si="9"/>
        <v/>
      </c>
    </row>
    <row r="101" spans="1:24">
      <c r="A101" s="640">
        <f t="shared" si="10"/>
        <v>28</v>
      </c>
      <c r="B101" s="517" t="str">
        <f>IF($G$67&gt;=28,"28","")</f>
        <v/>
      </c>
      <c r="C101" s="1906" t="str">
        <f t="shared" si="11"/>
        <v/>
      </c>
      <c r="D101" s="1907"/>
      <c r="E101" s="531" t="str">
        <f t="shared" si="1"/>
        <v/>
      </c>
      <c r="F101" s="1908" t="str">
        <f t="shared" si="2"/>
        <v/>
      </c>
      <c r="G101" s="1909"/>
      <c r="H101" s="532" t="str">
        <f t="shared" si="3"/>
        <v/>
      </c>
      <c r="J101" s="517" t="str">
        <f>IF($G$67&gt;=28,"28","")</f>
        <v/>
      </c>
      <c r="K101" s="1904" t="str">
        <f t="shared" si="12"/>
        <v/>
      </c>
      <c r="L101" s="1905"/>
      <c r="M101" s="518" t="str">
        <f t="shared" si="4"/>
        <v/>
      </c>
      <c r="N101" s="1904" t="str">
        <f t="shared" si="5"/>
        <v/>
      </c>
      <c r="O101" s="1905"/>
      <c r="P101" s="519" t="str">
        <f t="shared" si="6"/>
        <v/>
      </c>
      <c r="Q101" s="515"/>
      <c r="R101" s="520" t="str">
        <f>IF($G$67&gt;=28,"28","")</f>
        <v/>
      </c>
      <c r="S101" s="1904" t="str">
        <f t="shared" si="7"/>
        <v/>
      </c>
      <c r="T101" s="1910"/>
      <c r="U101" s="518" t="str">
        <f t="shared" si="8"/>
        <v/>
      </c>
      <c r="V101" s="1911" t="str">
        <f>IF($G$67=28,$G$63,"")</f>
        <v/>
      </c>
      <c r="W101" s="1912"/>
      <c r="X101" s="519" t="str">
        <f t="shared" si="9"/>
        <v/>
      </c>
    </row>
    <row r="102" spans="1:24">
      <c r="A102" s="640">
        <f t="shared" si="10"/>
        <v>29</v>
      </c>
      <c r="B102" s="517" t="str">
        <f>IF($G$67&gt;=29,"29","")</f>
        <v/>
      </c>
      <c r="C102" s="1906" t="str">
        <f t="shared" si="11"/>
        <v/>
      </c>
      <c r="D102" s="1907"/>
      <c r="E102" s="531" t="str">
        <f t="shared" si="1"/>
        <v/>
      </c>
      <c r="F102" s="1908" t="str">
        <f t="shared" si="2"/>
        <v/>
      </c>
      <c r="G102" s="1909"/>
      <c r="H102" s="532" t="str">
        <f t="shared" si="3"/>
        <v/>
      </c>
      <c r="J102" s="517" t="str">
        <f>IF($G$67&gt;=29,"29","")</f>
        <v/>
      </c>
      <c r="K102" s="1904" t="str">
        <f t="shared" si="12"/>
        <v/>
      </c>
      <c r="L102" s="1905"/>
      <c r="M102" s="518" t="str">
        <f t="shared" si="4"/>
        <v/>
      </c>
      <c r="N102" s="1904" t="str">
        <f t="shared" si="5"/>
        <v/>
      </c>
      <c r="O102" s="1905"/>
      <c r="P102" s="519" t="str">
        <f t="shared" si="6"/>
        <v/>
      </c>
      <c r="Q102" s="515"/>
      <c r="R102" s="520" t="str">
        <f>IF($G$67&gt;=29,"29","")</f>
        <v/>
      </c>
      <c r="S102" s="1904" t="str">
        <f t="shared" si="7"/>
        <v/>
      </c>
      <c r="T102" s="1910"/>
      <c r="U102" s="518" t="str">
        <f t="shared" si="8"/>
        <v/>
      </c>
      <c r="V102" s="1911" t="str">
        <f>IF($G$67=29,$G$63,"")</f>
        <v/>
      </c>
      <c r="W102" s="1912"/>
      <c r="X102" s="519" t="str">
        <f t="shared" si="9"/>
        <v/>
      </c>
    </row>
    <row r="103" spans="1:24">
      <c r="A103" s="640">
        <f t="shared" si="10"/>
        <v>30</v>
      </c>
      <c r="B103" s="517" t="str">
        <f>IF($G$67&gt;=30,"30","")</f>
        <v/>
      </c>
      <c r="C103" s="1906" t="str">
        <f t="shared" si="11"/>
        <v/>
      </c>
      <c r="D103" s="1907"/>
      <c r="E103" s="531" t="str">
        <f t="shared" si="1"/>
        <v/>
      </c>
      <c r="F103" s="1908" t="str">
        <f t="shared" si="2"/>
        <v/>
      </c>
      <c r="G103" s="1909"/>
      <c r="H103" s="532" t="str">
        <f t="shared" si="3"/>
        <v/>
      </c>
      <c r="J103" s="517" t="str">
        <f>IF($G$67&gt;=30,"30","")</f>
        <v/>
      </c>
      <c r="K103" s="1904" t="str">
        <f t="shared" si="12"/>
        <v/>
      </c>
      <c r="L103" s="1905"/>
      <c r="M103" s="518" t="str">
        <f t="shared" si="4"/>
        <v/>
      </c>
      <c r="N103" s="1904" t="str">
        <f t="shared" si="5"/>
        <v/>
      </c>
      <c r="O103" s="1905"/>
      <c r="P103" s="519" t="str">
        <f t="shared" si="6"/>
        <v/>
      </c>
      <c r="Q103" s="515"/>
      <c r="R103" s="520" t="str">
        <f>IF($G$67&gt;=30,"30","")</f>
        <v/>
      </c>
      <c r="S103" s="1904" t="str">
        <f t="shared" si="7"/>
        <v/>
      </c>
      <c r="T103" s="1910"/>
      <c r="U103" s="518" t="str">
        <f t="shared" si="8"/>
        <v/>
      </c>
      <c r="V103" s="1911" t="str">
        <f>IF($G$67=30,$G$63,"")</f>
        <v/>
      </c>
      <c r="W103" s="1912"/>
      <c r="X103" s="519" t="str">
        <f t="shared" si="9"/>
        <v/>
      </c>
    </row>
    <row r="104" spans="1:24">
      <c r="A104" s="640">
        <f t="shared" si="10"/>
        <v>31</v>
      </c>
      <c r="B104" s="517" t="str">
        <f>IF($G$67&gt;=31,"31","")</f>
        <v/>
      </c>
      <c r="C104" s="1906" t="str">
        <f t="shared" si="11"/>
        <v/>
      </c>
      <c r="D104" s="1907"/>
      <c r="E104" s="531" t="str">
        <f t="shared" si="1"/>
        <v/>
      </c>
      <c r="F104" s="1908" t="str">
        <f t="shared" si="2"/>
        <v/>
      </c>
      <c r="G104" s="1909"/>
      <c r="H104" s="532" t="str">
        <f t="shared" si="3"/>
        <v/>
      </c>
      <c r="J104" s="517" t="str">
        <f>IF($G$67&gt;=31,"31","")</f>
        <v/>
      </c>
      <c r="K104" s="1904" t="str">
        <f t="shared" si="12"/>
        <v/>
      </c>
      <c r="L104" s="1905"/>
      <c r="M104" s="518" t="str">
        <f t="shared" si="4"/>
        <v/>
      </c>
      <c r="N104" s="1904" t="str">
        <f t="shared" si="5"/>
        <v/>
      </c>
      <c r="O104" s="1905"/>
      <c r="P104" s="519" t="str">
        <f t="shared" si="6"/>
        <v/>
      </c>
      <c r="Q104" s="515"/>
      <c r="R104" s="520" t="str">
        <f>IF($G$67&gt;=31,"31","")</f>
        <v/>
      </c>
      <c r="S104" s="1904" t="str">
        <f t="shared" si="7"/>
        <v/>
      </c>
      <c r="T104" s="1910"/>
      <c r="U104" s="518" t="str">
        <f t="shared" si="8"/>
        <v/>
      </c>
      <c r="V104" s="1911" t="str">
        <f>IF($G$67=31,$G$63,"")</f>
        <v/>
      </c>
      <c r="W104" s="1912"/>
      <c r="X104" s="519" t="str">
        <f t="shared" si="9"/>
        <v/>
      </c>
    </row>
    <row r="105" spans="1:24">
      <c r="A105" s="640">
        <f t="shared" si="10"/>
        <v>32</v>
      </c>
      <c r="B105" s="517" t="str">
        <f>IF($G$67&gt;=32,"32","")</f>
        <v/>
      </c>
      <c r="C105" s="1906" t="str">
        <f t="shared" si="11"/>
        <v/>
      </c>
      <c r="D105" s="1907"/>
      <c r="E105" s="531" t="str">
        <f t="shared" si="1"/>
        <v/>
      </c>
      <c r="F105" s="1908" t="str">
        <f t="shared" si="2"/>
        <v/>
      </c>
      <c r="G105" s="1909"/>
      <c r="H105" s="532" t="str">
        <f t="shared" si="3"/>
        <v/>
      </c>
      <c r="J105" s="517" t="str">
        <f>IF($G$67&gt;=32,"32","")</f>
        <v/>
      </c>
      <c r="K105" s="1904" t="str">
        <f t="shared" si="12"/>
        <v/>
      </c>
      <c r="L105" s="1905"/>
      <c r="M105" s="518" t="str">
        <f t="shared" si="4"/>
        <v/>
      </c>
      <c r="N105" s="1904" t="str">
        <f t="shared" si="5"/>
        <v/>
      </c>
      <c r="O105" s="1905"/>
      <c r="P105" s="519" t="str">
        <f t="shared" si="6"/>
        <v/>
      </c>
      <c r="Q105" s="515"/>
      <c r="R105" s="520" t="str">
        <f>IF($G$67&gt;=32,"32","")</f>
        <v/>
      </c>
      <c r="S105" s="1904" t="str">
        <f t="shared" si="7"/>
        <v/>
      </c>
      <c r="T105" s="1910"/>
      <c r="U105" s="518" t="str">
        <f t="shared" si="8"/>
        <v/>
      </c>
      <c r="V105" s="1911" t="str">
        <f>IF($G$67=32,$G$63,"")</f>
        <v/>
      </c>
      <c r="W105" s="1912"/>
      <c r="X105" s="519" t="str">
        <f t="shared" si="9"/>
        <v/>
      </c>
    </row>
    <row r="106" spans="1:24">
      <c r="A106" s="640">
        <f t="shared" si="10"/>
        <v>33</v>
      </c>
      <c r="B106" s="517" t="str">
        <f>IF($G$67&gt;=33,"33","")</f>
        <v/>
      </c>
      <c r="C106" s="1906" t="str">
        <f t="shared" si="11"/>
        <v/>
      </c>
      <c r="D106" s="1907"/>
      <c r="E106" s="531" t="str">
        <f t="shared" si="1"/>
        <v/>
      </c>
      <c r="F106" s="1908" t="str">
        <f t="shared" si="2"/>
        <v/>
      </c>
      <c r="G106" s="1909"/>
      <c r="H106" s="532" t="str">
        <f t="shared" si="3"/>
        <v/>
      </c>
      <c r="J106" s="517" t="str">
        <f>IF($G$67&gt;=33,"33","")</f>
        <v/>
      </c>
      <c r="K106" s="1904" t="str">
        <f t="shared" si="12"/>
        <v/>
      </c>
      <c r="L106" s="1905"/>
      <c r="M106" s="518" t="str">
        <f t="shared" si="4"/>
        <v/>
      </c>
      <c r="N106" s="1904" t="str">
        <f t="shared" si="5"/>
        <v/>
      </c>
      <c r="O106" s="1905"/>
      <c r="P106" s="519" t="str">
        <f t="shared" si="6"/>
        <v/>
      </c>
      <c r="Q106" s="515"/>
      <c r="R106" s="520" t="str">
        <f>IF($G$67&gt;=33,"33","")</f>
        <v/>
      </c>
      <c r="S106" s="1904" t="str">
        <f t="shared" si="7"/>
        <v/>
      </c>
      <c r="T106" s="1910"/>
      <c r="U106" s="518" t="str">
        <f t="shared" si="8"/>
        <v/>
      </c>
      <c r="V106" s="1911" t="str">
        <f>IF($G$67=33,$G$63,"")</f>
        <v/>
      </c>
      <c r="W106" s="1912"/>
      <c r="X106" s="519" t="str">
        <f t="shared" si="9"/>
        <v/>
      </c>
    </row>
    <row r="107" spans="1:24">
      <c r="A107" s="640">
        <f t="shared" si="10"/>
        <v>34</v>
      </c>
      <c r="B107" s="517" t="str">
        <f>IF($G$67&gt;=34,"34","")</f>
        <v/>
      </c>
      <c r="C107" s="1906" t="str">
        <f t="shared" si="11"/>
        <v/>
      </c>
      <c r="D107" s="1907"/>
      <c r="E107" s="531" t="str">
        <f t="shared" si="1"/>
        <v/>
      </c>
      <c r="F107" s="1908" t="str">
        <f t="shared" si="2"/>
        <v/>
      </c>
      <c r="G107" s="1909"/>
      <c r="H107" s="532" t="str">
        <f t="shared" si="3"/>
        <v/>
      </c>
      <c r="J107" s="517" t="str">
        <f>IF($G$67&gt;=34,"34","")</f>
        <v/>
      </c>
      <c r="K107" s="1904" t="str">
        <f t="shared" si="12"/>
        <v/>
      </c>
      <c r="L107" s="1905"/>
      <c r="M107" s="518" t="str">
        <f t="shared" si="4"/>
        <v/>
      </c>
      <c r="N107" s="1904" t="str">
        <f t="shared" si="5"/>
        <v/>
      </c>
      <c r="O107" s="1905"/>
      <c r="P107" s="519" t="str">
        <f t="shared" si="6"/>
        <v/>
      </c>
      <c r="Q107" s="515"/>
      <c r="R107" s="520" t="str">
        <f>IF($G$67&gt;=34,"34","")</f>
        <v/>
      </c>
      <c r="S107" s="1904" t="str">
        <f t="shared" si="7"/>
        <v/>
      </c>
      <c r="T107" s="1910"/>
      <c r="U107" s="518" t="str">
        <f t="shared" si="8"/>
        <v/>
      </c>
      <c r="V107" s="1911" t="str">
        <f>IF($G$67=34,$G$63,"")</f>
        <v/>
      </c>
      <c r="W107" s="1912"/>
      <c r="X107" s="519" t="str">
        <f t="shared" si="9"/>
        <v/>
      </c>
    </row>
    <row r="108" spans="1:24">
      <c r="A108" s="640">
        <f t="shared" si="10"/>
        <v>35</v>
      </c>
      <c r="B108" s="517" t="str">
        <f>IF($G$67&gt;=35,"35","")</f>
        <v/>
      </c>
      <c r="C108" s="1906" t="str">
        <f t="shared" si="11"/>
        <v/>
      </c>
      <c r="D108" s="1907"/>
      <c r="E108" s="531" t="str">
        <f t="shared" si="1"/>
        <v/>
      </c>
      <c r="F108" s="1908" t="str">
        <f t="shared" si="2"/>
        <v/>
      </c>
      <c r="G108" s="1909"/>
      <c r="H108" s="532" t="str">
        <f t="shared" si="3"/>
        <v/>
      </c>
      <c r="J108" s="517" t="str">
        <f>IF($G$67&gt;=35,"35","")</f>
        <v/>
      </c>
      <c r="K108" s="1904" t="str">
        <f t="shared" si="12"/>
        <v/>
      </c>
      <c r="L108" s="1905"/>
      <c r="M108" s="518" t="str">
        <f t="shared" si="4"/>
        <v/>
      </c>
      <c r="N108" s="1904" t="str">
        <f t="shared" si="5"/>
        <v/>
      </c>
      <c r="O108" s="1905"/>
      <c r="P108" s="519" t="str">
        <f t="shared" si="6"/>
        <v/>
      </c>
      <c r="Q108" s="515"/>
      <c r="R108" s="520" t="str">
        <f>IF($G$67&gt;=35,"35","")</f>
        <v/>
      </c>
      <c r="S108" s="1904" t="str">
        <f t="shared" si="7"/>
        <v/>
      </c>
      <c r="T108" s="1910"/>
      <c r="U108" s="518" t="str">
        <f t="shared" si="8"/>
        <v/>
      </c>
      <c r="V108" s="1911" t="str">
        <f>IF($G$67=35,$G$63,"")</f>
        <v/>
      </c>
      <c r="W108" s="1912"/>
      <c r="X108" s="519" t="str">
        <f t="shared" si="9"/>
        <v/>
      </c>
    </row>
    <row r="109" spans="1:24">
      <c r="A109" s="640">
        <f t="shared" si="10"/>
        <v>36</v>
      </c>
      <c r="B109" s="517" t="str">
        <f>IF($G$67&gt;=36,"36","")</f>
        <v/>
      </c>
      <c r="C109" s="1906" t="str">
        <f t="shared" si="11"/>
        <v/>
      </c>
      <c r="D109" s="1907"/>
      <c r="E109" s="531" t="str">
        <f t="shared" si="1"/>
        <v/>
      </c>
      <c r="F109" s="1908" t="str">
        <f t="shared" si="2"/>
        <v/>
      </c>
      <c r="G109" s="1909"/>
      <c r="H109" s="532" t="str">
        <f t="shared" si="3"/>
        <v/>
      </c>
      <c r="J109" s="517" t="str">
        <f>IF($G$67&gt;=36,"36","")</f>
        <v/>
      </c>
      <c r="K109" s="1904" t="str">
        <f t="shared" si="12"/>
        <v/>
      </c>
      <c r="L109" s="1905"/>
      <c r="M109" s="518" t="str">
        <f t="shared" si="4"/>
        <v/>
      </c>
      <c r="N109" s="1904" t="str">
        <f t="shared" si="5"/>
        <v/>
      </c>
      <c r="O109" s="1905"/>
      <c r="P109" s="519" t="str">
        <f t="shared" si="6"/>
        <v/>
      </c>
      <c r="Q109" s="515"/>
      <c r="R109" s="520" t="str">
        <f>IF($G$67&gt;=36,"36","")</f>
        <v/>
      </c>
      <c r="S109" s="1904" t="str">
        <f t="shared" si="7"/>
        <v/>
      </c>
      <c r="T109" s="1910"/>
      <c r="U109" s="518" t="str">
        <f t="shared" si="8"/>
        <v/>
      </c>
      <c r="V109" s="1911" t="str">
        <f>IF($G$67=36,$G$63,"")</f>
        <v/>
      </c>
      <c r="W109" s="1912"/>
      <c r="X109" s="519" t="str">
        <f t="shared" si="9"/>
        <v/>
      </c>
    </row>
    <row r="110" spans="1:24">
      <c r="A110" s="640">
        <f t="shared" si="10"/>
        <v>37</v>
      </c>
      <c r="B110" s="517" t="str">
        <f>IF($G$67&gt;=37,"37","")</f>
        <v/>
      </c>
      <c r="C110" s="1906" t="str">
        <f t="shared" si="11"/>
        <v/>
      </c>
      <c r="D110" s="1907"/>
      <c r="E110" s="531" t="str">
        <f t="shared" si="1"/>
        <v/>
      </c>
      <c r="F110" s="1908" t="str">
        <f t="shared" si="2"/>
        <v/>
      </c>
      <c r="G110" s="1909"/>
      <c r="H110" s="532" t="str">
        <f t="shared" si="3"/>
        <v/>
      </c>
      <c r="J110" s="517" t="str">
        <f>IF($G$67&gt;=37,"37","")</f>
        <v/>
      </c>
      <c r="K110" s="1904" t="str">
        <f t="shared" si="12"/>
        <v/>
      </c>
      <c r="L110" s="1905"/>
      <c r="M110" s="518" t="str">
        <f t="shared" si="4"/>
        <v/>
      </c>
      <c r="N110" s="1904" t="str">
        <f t="shared" si="5"/>
        <v/>
      </c>
      <c r="O110" s="1905"/>
      <c r="P110" s="519" t="str">
        <f t="shared" si="6"/>
        <v/>
      </c>
      <c r="Q110" s="515"/>
      <c r="R110" s="520" t="str">
        <f>IF($G$67&gt;=37,"37","")</f>
        <v/>
      </c>
      <c r="S110" s="1904" t="str">
        <f t="shared" si="7"/>
        <v/>
      </c>
      <c r="T110" s="1910"/>
      <c r="U110" s="518" t="str">
        <f t="shared" si="8"/>
        <v/>
      </c>
      <c r="V110" s="1911" t="str">
        <f>IF($G$67=37,$G$63,"")</f>
        <v/>
      </c>
      <c r="W110" s="1912"/>
      <c r="X110" s="519" t="str">
        <f t="shared" si="9"/>
        <v/>
      </c>
    </row>
    <row r="111" spans="1:24">
      <c r="A111" s="640">
        <f t="shared" si="10"/>
        <v>38</v>
      </c>
      <c r="B111" s="517" t="str">
        <f>IF($G$67&gt;=38,"38","")</f>
        <v/>
      </c>
      <c r="C111" s="1906" t="str">
        <f t="shared" si="11"/>
        <v/>
      </c>
      <c r="D111" s="1907"/>
      <c r="E111" s="531" t="str">
        <f t="shared" si="1"/>
        <v/>
      </c>
      <c r="F111" s="1908" t="str">
        <f t="shared" si="2"/>
        <v/>
      </c>
      <c r="G111" s="1909"/>
      <c r="H111" s="532" t="str">
        <f t="shared" si="3"/>
        <v/>
      </c>
      <c r="J111" s="517" t="str">
        <f>IF($G$67&gt;=38,"38","")</f>
        <v/>
      </c>
      <c r="K111" s="1904" t="str">
        <f t="shared" si="12"/>
        <v/>
      </c>
      <c r="L111" s="1905"/>
      <c r="M111" s="518" t="str">
        <f t="shared" si="4"/>
        <v/>
      </c>
      <c r="N111" s="1904" t="str">
        <f t="shared" si="5"/>
        <v/>
      </c>
      <c r="O111" s="1905"/>
      <c r="P111" s="519" t="str">
        <f t="shared" si="6"/>
        <v/>
      </c>
      <c r="Q111" s="515"/>
      <c r="R111" s="520" t="str">
        <f>IF($G$67&gt;=38,"38","")</f>
        <v/>
      </c>
      <c r="S111" s="1904" t="str">
        <f t="shared" si="7"/>
        <v/>
      </c>
      <c r="T111" s="1910"/>
      <c r="U111" s="518" t="str">
        <f t="shared" si="8"/>
        <v/>
      </c>
      <c r="V111" s="1911" t="str">
        <f>IF($G$67=38,$G$63,"")</f>
        <v/>
      </c>
      <c r="W111" s="1912"/>
      <c r="X111" s="519" t="str">
        <f t="shared" si="9"/>
        <v/>
      </c>
    </row>
    <row r="112" spans="1:24">
      <c r="A112" s="640">
        <f t="shared" si="10"/>
        <v>39</v>
      </c>
      <c r="B112" s="517" t="str">
        <f>IF($G$67&gt;=39,"39","")</f>
        <v/>
      </c>
      <c r="C112" s="1906" t="str">
        <f t="shared" si="11"/>
        <v/>
      </c>
      <c r="D112" s="1907"/>
      <c r="E112" s="531" t="str">
        <f t="shared" si="1"/>
        <v/>
      </c>
      <c r="F112" s="1908" t="str">
        <f t="shared" si="2"/>
        <v/>
      </c>
      <c r="G112" s="1909"/>
      <c r="H112" s="532" t="str">
        <f t="shared" si="3"/>
        <v/>
      </c>
      <c r="J112" s="517" t="str">
        <f>IF($G$67&gt;=39,"39","")</f>
        <v/>
      </c>
      <c r="K112" s="1904" t="str">
        <f t="shared" si="12"/>
        <v/>
      </c>
      <c r="L112" s="1905"/>
      <c r="M112" s="518" t="str">
        <f t="shared" si="4"/>
        <v/>
      </c>
      <c r="N112" s="1904" t="str">
        <f t="shared" si="5"/>
        <v/>
      </c>
      <c r="O112" s="1905"/>
      <c r="P112" s="519" t="str">
        <f t="shared" si="6"/>
        <v/>
      </c>
      <c r="Q112" s="515"/>
      <c r="R112" s="520" t="str">
        <f>IF($G$67&gt;=39,"39","")</f>
        <v/>
      </c>
      <c r="S112" s="1904" t="str">
        <f t="shared" si="7"/>
        <v/>
      </c>
      <c r="T112" s="1910"/>
      <c r="U112" s="518" t="str">
        <f t="shared" si="8"/>
        <v/>
      </c>
      <c r="V112" s="1911" t="str">
        <f>IF($G$67=39,$G$63,"")</f>
        <v/>
      </c>
      <c r="W112" s="1912"/>
      <c r="X112" s="519" t="str">
        <f t="shared" si="9"/>
        <v/>
      </c>
    </row>
    <row r="113" spans="1:24">
      <c r="A113" s="640">
        <f t="shared" si="10"/>
        <v>40</v>
      </c>
      <c r="B113" s="553" t="str">
        <f>IF($G$67&gt;=40,"40","")</f>
        <v/>
      </c>
      <c r="C113" s="1913" t="str">
        <f t="shared" si="11"/>
        <v/>
      </c>
      <c r="D113" s="1914"/>
      <c r="E113" s="554" t="str">
        <f t="shared" si="1"/>
        <v/>
      </c>
      <c r="F113" s="1915" t="str">
        <f t="shared" si="2"/>
        <v/>
      </c>
      <c r="G113" s="1916"/>
      <c r="H113" s="555" t="str">
        <f t="shared" si="3"/>
        <v/>
      </c>
      <c r="J113" s="553" t="str">
        <f>IF($G$67&gt;=40,"40","")</f>
        <v/>
      </c>
      <c r="K113" s="1917" t="str">
        <f t="shared" si="12"/>
        <v/>
      </c>
      <c r="L113" s="1918"/>
      <c r="M113" s="551" t="str">
        <f t="shared" si="4"/>
        <v/>
      </c>
      <c r="N113" s="1917" t="str">
        <f t="shared" si="5"/>
        <v/>
      </c>
      <c r="O113" s="1918"/>
      <c r="P113" s="552" t="str">
        <f t="shared" si="6"/>
        <v/>
      </c>
      <c r="Q113" s="515"/>
      <c r="R113" s="550" t="str">
        <f>IF($G$67&gt;=40,"40","")</f>
        <v/>
      </c>
      <c r="S113" s="1917" t="str">
        <f t="shared" si="7"/>
        <v/>
      </c>
      <c r="T113" s="1919"/>
      <c r="U113" s="551" t="str">
        <f t="shared" si="8"/>
        <v/>
      </c>
      <c r="V113" s="1920" t="str">
        <f>IF($G$67=40,$G$63,"")</f>
        <v/>
      </c>
      <c r="W113" s="1921"/>
      <c r="X113" s="552" t="str">
        <f t="shared" si="9"/>
        <v/>
      </c>
    </row>
    <row r="117" spans="1:24">
      <c r="A117" s="121"/>
      <c r="D117" s="1943" t="s">
        <v>680</v>
      </c>
      <c r="E117" s="1943"/>
      <c r="F117" s="1944"/>
      <c r="G117" s="1941">
        <v>0</v>
      </c>
      <c r="H117" s="1942"/>
    </row>
    <row r="118" spans="1:24" ht="17.25">
      <c r="A118" s="121"/>
      <c r="D118" s="658"/>
      <c r="E118" s="629"/>
      <c r="F118" s="629"/>
    </row>
    <row r="119" spans="1:24">
      <c r="A119" s="121"/>
      <c r="D119" s="1943" t="s">
        <v>569</v>
      </c>
      <c r="E119" s="1943"/>
      <c r="F119" s="1944"/>
      <c r="G119" s="1939">
        <v>0</v>
      </c>
      <c r="H119" s="1940"/>
    </row>
    <row r="120" spans="1:24" ht="17.25">
      <c r="A120" s="121"/>
      <c r="D120" s="658"/>
      <c r="E120" s="629"/>
      <c r="F120" s="629"/>
    </row>
    <row r="121" spans="1:24">
      <c r="A121" s="121"/>
      <c r="D121" s="1943" t="s">
        <v>679</v>
      </c>
      <c r="E121" s="1943"/>
      <c r="F121" s="1944"/>
      <c r="G121" s="1937">
        <v>0</v>
      </c>
      <c r="H121" s="1938"/>
    </row>
    <row r="122" spans="1:24">
      <c r="A122" s="121"/>
      <c r="D122" s="916"/>
      <c r="E122" s="916"/>
      <c r="F122" s="917"/>
      <c r="G122" s="420"/>
      <c r="H122" s="641"/>
    </row>
    <row r="123" spans="1:24">
      <c r="A123" s="121"/>
      <c r="D123" s="1943" t="s">
        <v>681</v>
      </c>
      <c r="E123" s="1943"/>
      <c r="F123" s="1944"/>
      <c r="G123" s="1953"/>
      <c r="H123" s="1954"/>
    </row>
    <row r="125" spans="1:24" ht="16.5" customHeight="1">
      <c r="B125" s="2275" t="s">
        <v>522</v>
      </c>
      <c r="C125" s="2276"/>
      <c r="D125" s="2276"/>
      <c r="E125" s="2276"/>
      <c r="F125" s="2276"/>
      <c r="G125" s="2276"/>
      <c r="H125" s="2277"/>
      <c r="J125" s="2284" t="s">
        <v>523</v>
      </c>
      <c r="K125" s="2285"/>
      <c r="L125" s="2285"/>
      <c r="M125" s="2285"/>
      <c r="N125" s="2285"/>
      <c r="O125" s="2285"/>
      <c r="P125" s="2286"/>
      <c r="Q125" s="506"/>
      <c r="R125" s="2295" t="s">
        <v>529</v>
      </c>
      <c r="S125" s="2296"/>
      <c r="T125" s="2296"/>
      <c r="U125" s="2296"/>
      <c r="V125" s="2296"/>
      <c r="W125" s="2296"/>
      <c r="X125" s="2297"/>
    </row>
    <row r="126" spans="1:24" ht="16.5" customHeight="1">
      <c r="B126" s="2278"/>
      <c r="C126" s="2279"/>
      <c r="D126" s="2280" t="s">
        <v>555</v>
      </c>
      <c r="E126" s="2280"/>
      <c r="F126" s="2281">
        <f>SUM($H$128:$H$167)</f>
        <v>0</v>
      </c>
      <c r="G126" s="2282"/>
      <c r="H126" s="2283"/>
      <c r="J126" s="2287"/>
      <c r="K126" s="2288" t="s">
        <v>555</v>
      </c>
      <c r="L126" s="2288"/>
      <c r="M126" s="2289">
        <f>SUM($P$128:$P$167)</f>
        <v>0</v>
      </c>
      <c r="N126" s="2290"/>
      <c r="O126" s="2291"/>
      <c r="P126" s="2292"/>
      <c r="Q126" s="507"/>
      <c r="R126" s="2298"/>
      <c r="S126" s="2299"/>
      <c r="T126" s="2300" t="s">
        <v>555</v>
      </c>
      <c r="U126" s="2300"/>
      <c r="V126" s="2301">
        <f>SUM($X$128:$X$167)</f>
        <v>0</v>
      </c>
      <c r="W126" s="2302"/>
      <c r="X126" s="2303"/>
    </row>
    <row r="127" spans="1:24">
      <c r="B127" s="526" t="s">
        <v>524</v>
      </c>
      <c r="C127" s="1931" t="s">
        <v>525</v>
      </c>
      <c r="D127" s="1932"/>
      <c r="E127" s="527" t="s">
        <v>526</v>
      </c>
      <c r="F127" s="1933" t="s">
        <v>527</v>
      </c>
      <c r="G127" s="1934"/>
      <c r="H127" s="528" t="s">
        <v>528</v>
      </c>
      <c r="I127" s="508"/>
      <c r="J127" s="509" t="s">
        <v>524</v>
      </c>
      <c r="K127" s="1935" t="s">
        <v>525</v>
      </c>
      <c r="L127" s="1935"/>
      <c r="M127" s="915" t="s">
        <v>526</v>
      </c>
      <c r="N127" s="1936" t="s">
        <v>527</v>
      </c>
      <c r="O127" s="1936"/>
      <c r="P127" s="510" t="s">
        <v>528</v>
      </c>
      <c r="Q127" s="511"/>
      <c r="R127" s="509" t="s">
        <v>524</v>
      </c>
      <c r="S127" s="1935" t="s">
        <v>525</v>
      </c>
      <c r="T127" s="1935"/>
      <c r="U127" s="915" t="s">
        <v>526</v>
      </c>
      <c r="V127" s="1936" t="s">
        <v>527</v>
      </c>
      <c r="W127" s="1936"/>
      <c r="X127" s="510" t="s">
        <v>528</v>
      </c>
    </row>
    <row r="128" spans="1:24">
      <c r="A128" s="640">
        <f>$G$123+1</f>
        <v>1</v>
      </c>
      <c r="B128" s="638" t="str">
        <f>IF($G$121&gt;=1,"1","")</f>
        <v/>
      </c>
      <c r="C128" s="1922">
        <f>$G$117</f>
        <v>0</v>
      </c>
      <c r="D128" s="1923"/>
      <c r="E128" s="529" t="str">
        <f>IF($B$128="","",$C$128*$G$65)</f>
        <v/>
      </c>
      <c r="F128" s="1924" t="str">
        <f>IF(B128="","",H128-E128)</f>
        <v/>
      </c>
      <c r="G128" s="1925"/>
      <c r="H128" s="530" t="str">
        <f>IF(B128="","",$G$117*$G$119/(1-(1+$G$119)^-$G$121))</f>
        <v/>
      </c>
      <c r="J128" s="512" t="str">
        <f>IF($G$121&gt;=1,"1","")</f>
        <v/>
      </c>
      <c r="K128" s="1926">
        <f>$G$117</f>
        <v>0</v>
      </c>
      <c r="L128" s="1927"/>
      <c r="M128" s="513" t="str">
        <f>IF(J128="","",K128*$G$119)</f>
        <v/>
      </c>
      <c r="N128" s="1926" t="e">
        <f>IF(K128="","",$K$128/$G$121)</f>
        <v>#DIV/0!</v>
      </c>
      <c r="O128" s="1927"/>
      <c r="P128" s="514" t="str">
        <f>IF(J128="","",M128+N128)</f>
        <v/>
      </c>
      <c r="Q128" s="515"/>
      <c r="R128" s="516" t="str">
        <f>IF($G$121&gt;=1,"1","")</f>
        <v/>
      </c>
      <c r="S128" s="1926" t="str">
        <f>IF(R128="","",$G$117)</f>
        <v/>
      </c>
      <c r="T128" s="1928"/>
      <c r="U128" s="513" t="str">
        <f>IF(R128="","",$G$117*$G$119)</f>
        <v/>
      </c>
      <c r="V128" s="1960" t="str">
        <f>IF($G$121=1,$G$117,"")</f>
        <v/>
      </c>
      <c r="W128" s="1961"/>
      <c r="X128" s="514" t="str">
        <f>IF(R128="","",SUM(U128:W128))</f>
        <v/>
      </c>
    </row>
    <row r="129" spans="1:24">
      <c r="A129" s="640">
        <f>A128+1</f>
        <v>2</v>
      </c>
      <c r="B129" s="517" t="str">
        <f>IF($G$121&gt;=2,"2","")</f>
        <v/>
      </c>
      <c r="C129" s="1906" t="str">
        <f>IF($B$129="","",$C$128-$F$128)</f>
        <v/>
      </c>
      <c r="D129" s="1907"/>
      <c r="E129" s="531" t="str">
        <f>IF($B$129="","",$C$129*$G$65)</f>
        <v/>
      </c>
      <c r="F129" s="1908" t="str">
        <f t="shared" ref="F129:F167" si="13">IF(B129="","",H129-E129)</f>
        <v/>
      </c>
      <c r="G129" s="1909"/>
      <c r="H129" s="532" t="str">
        <f t="shared" ref="H129:H167" si="14">IF(B129="","",$G$117*$G$119/(1-(1+$G$119)^-$G$121))</f>
        <v/>
      </c>
      <c r="J129" s="517" t="str">
        <f>IF($G$121&gt;=2,"2","")</f>
        <v/>
      </c>
      <c r="K129" s="1904" t="str">
        <f>IF(J129="","",K128-N128)</f>
        <v/>
      </c>
      <c r="L129" s="1905"/>
      <c r="M129" s="518" t="str">
        <f t="shared" ref="M129:M167" si="15">IF(J129="","",K129*$G$119)</f>
        <v/>
      </c>
      <c r="N129" s="1904" t="str">
        <f t="shared" ref="N129:N167" si="16">IF(K129="","",$K$128/$G$121)</f>
        <v/>
      </c>
      <c r="O129" s="1905"/>
      <c r="P129" s="519" t="str">
        <f t="shared" ref="P129:P167" si="17">IF(J129="","",M129+N129)</f>
        <v/>
      </c>
      <c r="Q129" s="515"/>
      <c r="R129" s="520" t="str">
        <f>IF($G$121&gt;=2,"2","")</f>
        <v/>
      </c>
      <c r="S129" s="1904" t="str">
        <f t="shared" ref="S129:S167" si="18">IF(R129="","",$G$117)</f>
        <v/>
      </c>
      <c r="T129" s="1910"/>
      <c r="U129" s="518" t="str">
        <f t="shared" ref="U129:U167" si="19">IF(R129="","",$G$117*$G$119)</f>
        <v/>
      </c>
      <c r="V129" s="1911" t="str">
        <f>IF($G$121=2,$G$117,"")</f>
        <v/>
      </c>
      <c r="W129" s="1912"/>
      <c r="X129" s="519" t="str">
        <f t="shared" ref="X129:X167" si="20">IF(R129="","",SUM(U129:W129))</f>
        <v/>
      </c>
    </row>
    <row r="130" spans="1:24">
      <c r="A130" s="640">
        <f t="shared" ref="A130:A167" si="21">A129+1</f>
        <v>3</v>
      </c>
      <c r="B130" s="517" t="str">
        <f>IF($G$121&gt;=3,"3","")</f>
        <v/>
      </c>
      <c r="C130" s="1906" t="str">
        <f>IF($B$130="","",$C$129-$F$129)</f>
        <v/>
      </c>
      <c r="D130" s="1907"/>
      <c r="E130" s="531" t="str">
        <f>IF($B$130="","",$C$130*$G$65)</f>
        <v/>
      </c>
      <c r="F130" s="1908" t="str">
        <f t="shared" si="13"/>
        <v/>
      </c>
      <c r="G130" s="1909"/>
      <c r="H130" s="532" t="str">
        <f t="shared" si="14"/>
        <v/>
      </c>
      <c r="J130" s="517" t="str">
        <f>IF($G$121&gt;=3,"3","")</f>
        <v/>
      </c>
      <c r="K130" s="1904" t="str">
        <f t="shared" ref="K130:K167" si="22">IF(J130="","",K129-N129)</f>
        <v/>
      </c>
      <c r="L130" s="1905"/>
      <c r="M130" s="518" t="str">
        <f t="shared" si="15"/>
        <v/>
      </c>
      <c r="N130" s="1904" t="str">
        <f t="shared" si="16"/>
        <v/>
      </c>
      <c r="O130" s="1905"/>
      <c r="P130" s="519" t="str">
        <f t="shared" si="17"/>
        <v/>
      </c>
      <c r="Q130" s="515"/>
      <c r="R130" s="520" t="str">
        <f>IF($G$121&gt;=3,"3","")</f>
        <v/>
      </c>
      <c r="S130" s="1904" t="str">
        <f t="shared" si="18"/>
        <v/>
      </c>
      <c r="T130" s="1910"/>
      <c r="U130" s="518" t="str">
        <f t="shared" si="19"/>
        <v/>
      </c>
      <c r="V130" s="1911" t="str">
        <f>IF($G$121=3,$G$117,"")</f>
        <v/>
      </c>
      <c r="W130" s="1912"/>
      <c r="X130" s="519" t="str">
        <f t="shared" si="20"/>
        <v/>
      </c>
    </row>
    <row r="131" spans="1:24">
      <c r="A131" s="640">
        <f t="shared" si="21"/>
        <v>4</v>
      </c>
      <c r="B131" s="517" t="str">
        <f>IF($G$121&gt;=4,"4","")</f>
        <v/>
      </c>
      <c r="C131" s="1906" t="str">
        <f>IF($B$131="","",$C$130-$F$130)</f>
        <v/>
      </c>
      <c r="D131" s="1907"/>
      <c r="E131" s="531" t="str">
        <f>IF($B$131="","",$C$131*$G$65)</f>
        <v/>
      </c>
      <c r="F131" s="1908" t="str">
        <f t="shared" si="13"/>
        <v/>
      </c>
      <c r="G131" s="1909"/>
      <c r="H131" s="532" t="str">
        <f t="shared" si="14"/>
        <v/>
      </c>
      <c r="J131" s="517" t="str">
        <f>IF($G$121&gt;=4,"4","")</f>
        <v/>
      </c>
      <c r="K131" s="1904" t="str">
        <f t="shared" si="22"/>
        <v/>
      </c>
      <c r="L131" s="1905"/>
      <c r="M131" s="518" t="str">
        <f t="shared" si="15"/>
        <v/>
      </c>
      <c r="N131" s="1904" t="str">
        <f t="shared" si="16"/>
        <v/>
      </c>
      <c r="O131" s="1905"/>
      <c r="P131" s="519" t="str">
        <f t="shared" si="17"/>
        <v/>
      </c>
      <c r="Q131" s="515"/>
      <c r="R131" s="520" t="str">
        <f>IF($G$121&gt;=4,"4","")</f>
        <v/>
      </c>
      <c r="S131" s="1904" t="str">
        <f t="shared" si="18"/>
        <v/>
      </c>
      <c r="T131" s="1910"/>
      <c r="U131" s="518" t="str">
        <f t="shared" si="19"/>
        <v/>
      </c>
      <c r="V131" s="1911" t="str">
        <f>IF($G$121=4,$G$117,"")</f>
        <v/>
      </c>
      <c r="W131" s="1912"/>
      <c r="X131" s="519" t="str">
        <f t="shared" si="20"/>
        <v/>
      </c>
    </row>
    <row r="132" spans="1:24">
      <c r="A132" s="640">
        <f t="shared" si="21"/>
        <v>5</v>
      </c>
      <c r="B132" s="517" t="str">
        <f>IF($G$121&gt;=5,"5","")</f>
        <v/>
      </c>
      <c r="C132" s="1906" t="str">
        <f>IF($B$132="","",$C$131-$F$131)</f>
        <v/>
      </c>
      <c r="D132" s="1907"/>
      <c r="E132" s="531" t="str">
        <f>IF($B$132="","",$C$132*$G$65)</f>
        <v/>
      </c>
      <c r="F132" s="1908" t="str">
        <f t="shared" si="13"/>
        <v/>
      </c>
      <c r="G132" s="1909"/>
      <c r="H132" s="532" t="str">
        <f t="shared" si="14"/>
        <v/>
      </c>
      <c r="J132" s="517" t="str">
        <f>IF($G$121&gt;=5,"5","")</f>
        <v/>
      </c>
      <c r="K132" s="1904" t="str">
        <f t="shared" si="22"/>
        <v/>
      </c>
      <c r="L132" s="1905"/>
      <c r="M132" s="518" t="str">
        <f t="shared" si="15"/>
        <v/>
      </c>
      <c r="N132" s="1904" t="str">
        <f t="shared" si="16"/>
        <v/>
      </c>
      <c r="O132" s="1905"/>
      <c r="P132" s="519" t="str">
        <f t="shared" si="17"/>
        <v/>
      </c>
      <c r="Q132" s="515"/>
      <c r="R132" s="520" t="str">
        <f>IF($G$121&gt;=5,"5","")</f>
        <v/>
      </c>
      <c r="S132" s="1904" t="str">
        <f t="shared" si="18"/>
        <v/>
      </c>
      <c r="T132" s="1910"/>
      <c r="U132" s="518" t="str">
        <f t="shared" si="19"/>
        <v/>
      </c>
      <c r="V132" s="1911" t="str">
        <f>IF($G$121=5,$G$117,"")</f>
        <v/>
      </c>
      <c r="W132" s="1912"/>
      <c r="X132" s="519" t="str">
        <f t="shared" si="20"/>
        <v/>
      </c>
    </row>
    <row r="133" spans="1:24">
      <c r="A133" s="640">
        <f t="shared" si="21"/>
        <v>6</v>
      </c>
      <c r="B133" s="517" t="str">
        <f>IF($G$121&gt;=6,"6","")</f>
        <v/>
      </c>
      <c r="C133" s="1906" t="str">
        <f>IF($B$133="","",$C$132-$F$132)</f>
        <v/>
      </c>
      <c r="D133" s="1907"/>
      <c r="E133" s="531" t="str">
        <f>IF($B$133="","",$C$133*$G$65)</f>
        <v/>
      </c>
      <c r="F133" s="1908" t="str">
        <f t="shared" si="13"/>
        <v/>
      </c>
      <c r="G133" s="1909"/>
      <c r="H133" s="532" t="str">
        <f t="shared" si="14"/>
        <v/>
      </c>
      <c r="J133" s="517" t="str">
        <f>IF($G$121&gt;=6,"6","")</f>
        <v/>
      </c>
      <c r="K133" s="1904" t="str">
        <f t="shared" si="22"/>
        <v/>
      </c>
      <c r="L133" s="1905"/>
      <c r="M133" s="518" t="str">
        <f t="shared" si="15"/>
        <v/>
      </c>
      <c r="N133" s="1904" t="str">
        <f t="shared" si="16"/>
        <v/>
      </c>
      <c r="O133" s="1905"/>
      <c r="P133" s="519" t="str">
        <f t="shared" si="17"/>
        <v/>
      </c>
      <c r="Q133" s="515"/>
      <c r="R133" s="520" t="str">
        <f>IF($G$121&gt;=6,"6","")</f>
        <v/>
      </c>
      <c r="S133" s="1904" t="str">
        <f t="shared" si="18"/>
        <v/>
      </c>
      <c r="T133" s="1910"/>
      <c r="U133" s="518" t="str">
        <f t="shared" si="19"/>
        <v/>
      </c>
      <c r="V133" s="1911" t="str">
        <f>IF($G$121=6,$G$117,"")</f>
        <v/>
      </c>
      <c r="W133" s="1912"/>
      <c r="X133" s="519" t="str">
        <f t="shared" si="20"/>
        <v/>
      </c>
    </row>
    <row r="134" spans="1:24">
      <c r="A134" s="640">
        <f t="shared" si="21"/>
        <v>7</v>
      </c>
      <c r="B134" s="517" t="str">
        <f>IF($G$121&gt;=7,"7","")</f>
        <v/>
      </c>
      <c r="C134" s="1906" t="str">
        <f>IF($B$134="","",$C$133-$F$133)</f>
        <v/>
      </c>
      <c r="D134" s="1907"/>
      <c r="E134" s="531" t="str">
        <f>IF($B$134="","",$C$134*$G$65)</f>
        <v/>
      </c>
      <c r="F134" s="1908" t="str">
        <f t="shared" si="13"/>
        <v/>
      </c>
      <c r="G134" s="1909"/>
      <c r="H134" s="532" t="str">
        <f t="shared" si="14"/>
        <v/>
      </c>
      <c r="J134" s="517" t="str">
        <f>IF($G$121&gt;=7,"7","")</f>
        <v/>
      </c>
      <c r="K134" s="1904" t="str">
        <f t="shared" si="22"/>
        <v/>
      </c>
      <c r="L134" s="1905"/>
      <c r="M134" s="518" t="str">
        <f t="shared" si="15"/>
        <v/>
      </c>
      <c r="N134" s="1904" t="str">
        <f t="shared" si="16"/>
        <v/>
      </c>
      <c r="O134" s="1905"/>
      <c r="P134" s="519" t="str">
        <f t="shared" si="17"/>
        <v/>
      </c>
      <c r="Q134" s="515"/>
      <c r="R134" s="520" t="str">
        <f>IF($G$121&gt;=7,"7","")</f>
        <v/>
      </c>
      <c r="S134" s="1904" t="str">
        <f t="shared" si="18"/>
        <v/>
      </c>
      <c r="T134" s="1910"/>
      <c r="U134" s="518" t="str">
        <f t="shared" si="19"/>
        <v/>
      </c>
      <c r="V134" s="1911" t="str">
        <f>IF($G$121=7,$G$117,"")</f>
        <v/>
      </c>
      <c r="W134" s="1912"/>
      <c r="X134" s="519" t="str">
        <f t="shared" si="20"/>
        <v/>
      </c>
    </row>
    <row r="135" spans="1:24">
      <c r="A135" s="640">
        <f t="shared" si="21"/>
        <v>8</v>
      </c>
      <c r="B135" s="517" t="str">
        <f>IF($G$121&gt;=8,"8","")</f>
        <v/>
      </c>
      <c r="C135" s="1906" t="str">
        <f>IF($B$135="","",$C$134-$F$134)</f>
        <v/>
      </c>
      <c r="D135" s="1907"/>
      <c r="E135" s="531" t="str">
        <f>IF($B$135="","",$C$135*$G$65)</f>
        <v/>
      </c>
      <c r="F135" s="1908" t="str">
        <f t="shared" si="13"/>
        <v/>
      </c>
      <c r="G135" s="1909"/>
      <c r="H135" s="532" t="str">
        <f t="shared" si="14"/>
        <v/>
      </c>
      <c r="J135" s="517" t="str">
        <f>IF($G$121&gt;=8,"8","")</f>
        <v/>
      </c>
      <c r="K135" s="1904" t="str">
        <f t="shared" si="22"/>
        <v/>
      </c>
      <c r="L135" s="1905"/>
      <c r="M135" s="518" t="str">
        <f t="shared" si="15"/>
        <v/>
      </c>
      <c r="N135" s="1904" t="str">
        <f t="shared" si="16"/>
        <v/>
      </c>
      <c r="O135" s="1905"/>
      <c r="P135" s="519" t="str">
        <f t="shared" si="17"/>
        <v/>
      </c>
      <c r="Q135" s="515"/>
      <c r="R135" s="520" t="str">
        <f>IF($G$121&gt;=8,"8","")</f>
        <v/>
      </c>
      <c r="S135" s="1904" t="str">
        <f t="shared" si="18"/>
        <v/>
      </c>
      <c r="T135" s="1910"/>
      <c r="U135" s="518" t="str">
        <f t="shared" si="19"/>
        <v/>
      </c>
      <c r="V135" s="1911" t="str">
        <f>IF($G$121=8,$G$117,"")</f>
        <v/>
      </c>
      <c r="W135" s="1912"/>
      <c r="X135" s="519" t="str">
        <f t="shared" si="20"/>
        <v/>
      </c>
    </row>
    <row r="136" spans="1:24">
      <c r="A136" s="640">
        <f t="shared" si="21"/>
        <v>9</v>
      </c>
      <c r="B136" s="517" t="str">
        <f>IF($G$121&gt;=9,"9","")</f>
        <v/>
      </c>
      <c r="C136" s="1906" t="str">
        <f>IF($B$136="","",$C$135-$F$135)</f>
        <v/>
      </c>
      <c r="D136" s="1907"/>
      <c r="E136" s="531" t="str">
        <f>IF($B$136="","",$C$136*$G$65)</f>
        <v/>
      </c>
      <c r="F136" s="1908" t="str">
        <f t="shared" si="13"/>
        <v/>
      </c>
      <c r="G136" s="1909"/>
      <c r="H136" s="532" t="str">
        <f t="shared" si="14"/>
        <v/>
      </c>
      <c r="J136" s="517" t="str">
        <f>IF($G$121&gt;=9,"9","")</f>
        <v/>
      </c>
      <c r="K136" s="1904" t="str">
        <f t="shared" si="22"/>
        <v/>
      </c>
      <c r="L136" s="1905"/>
      <c r="M136" s="518" t="str">
        <f t="shared" si="15"/>
        <v/>
      </c>
      <c r="N136" s="1904" t="str">
        <f t="shared" si="16"/>
        <v/>
      </c>
      <c r="O136" s="1905"/>
      <c r="P136" s="519" t="str">
        <f t="shared" si="17"/>
        <v/>
      </c>
      <c r="Q136" s="515"/>
      <c r="R136" s="520" t="str">
        <f>IF($G$121&gt;=9,"9","")</f>
        <v/>
      </c>
      <c r="S136" s="1904" t="str">
        <f t="shared" si="18"/>
        <v/>
      </c>
      <c r="T136" s="1910"/>
      <c r="U136" s="518" t="str">
        <f t="shared" si="19"/>
        <v/>
      </c>
      <c r="V136" s="1911" t="str">
        <f>IF($G$121=9,$G$117,"")</f>
        <v/>
      </c>
      <c r="W136" s="1912"/>
      <c r="X136" s="519" t="str">
        <f t="shared" si="20"/>
        <v/>
      </c>
    </row>
    <row r="137" spans="1:24">
      <c r="A137" s="640">
        <f t="shared" si="21"/>
        <v>10</v>
      </c>
      <c r="B137" s="517" t="str">
        <f>IF($G$121&gt;=10,"10","")</f>
        <v/>
      </c>
      <c r="C137" s="1906" t="str">
        <f>IF($B$137="","",$C$136-$F$136)</f>
        <v/>
      </c>
      <c r="D137" s="1907"/>
      <c r="E137" s="531" t="str">
        <f>IF($B$137="","",$C$137*$G$65)</f>
        <v/>
      </c>
      <c r="F137" s="1908" t="str">
        <f t="shared" si="13"/>
        <v/>
      </c>
      <c r="G137" s="1909"/>
      <c r="H137" s="532" t="str">
        <f t="shared" si="14"/>
        <v/>
      </c>
      <c r="J137" s="517" t="str">
        <f>IF($G$121&gt;=10,"10","")</f>
        <v/>
      </c>
      <c r="K137" s="1904" t="str">
        <f t="shared" si="22"/>
        <v/>
      </c>
      <c r="L137" s="1905"/>
      <c r="M137" s="518" t="str">
        <f t="shared" si="15"/>
        <v/>
      </c>
      <c r="N137" s="1904" t="str">
        <f t="shared" si="16"/>
        <v/>
      </c>
      <c r="O137" s="1905"/>
      <c r="P137" s="519" t="str">
        <f t="shared" si="17"/>
        <v/>
      </c>
      <c r="Q137" s="515"/>
      <c r="R137" s="520" t="str">
        <f>IF($G$121&gt;=10,"10","")</f>
        <v/>
      </c>
      <c r="S137" s="1904" t="str">
        <f t="shared" si="18"/>
        <v/>
      </c>
      <c r="T137" s="1910"/>
      <c r="U137" s="518" t="str">
        <f t="shared" si="19"/>
        <v/>
      </c>
      <c r="V137" s="1911" t="str">
        <f>IF($G$121=10,$G$117,"")</f>
        <v/>
      </c>
      <c r="W137" s="1912"/>
      <c r="X137" s="519" t="str">
        <f t="shared" si="20"/>
        <v/>
      </c>
    </row>
    <row r="138" spans="1:24">
      <c r="A138" s="640">
        <f t="shared" si="21"/>
        <v>11</v>
      </c>
      <c r="B138" s="517" t="str">
        <f>IF($G$121&gt;=11,"11","")</f>
        <v/>
      </c>
      <c r="C138" s="1906" t="str">
        <f>IF($B$138="","",$C$137-$F$137)</f>
        <v/>
      </c>
      <c r="D138" s="1907"/>
      <c r="E138" s="531" t="str">
        <f>IF($B$138="","",$C$138*$G$65)</f>
        <v/>
      </c>
      <c r="F138" s="1908" t="str">
        <f t="shared" si="13"/>
        <v/>
      </c>
      <c r="G138" s="1909"/>
      <c r="H138" s="532" t="str">
        <f t="shared" si="14"/>
        <v/>
      </c>
      <c r="J138" s="517" t="str">
        <f>IF($G$121&gt;=11,"11","")</f>
        <v/>
      </c>
      <c r="K138" s="1904" t="str">
        <f t="shared" si="22"/>
        <v/>
      </c>
      <c r="L138" s="1905"/>
      <c r="M138" s="518" t="str">
        <f t="shared" si="15"/>
        <v/>
      </c>
      <c r="N138" s="1904" t="str">
        <f t="shared" si="16"/>
        <v/>
      </c>
      <c r="O138" s="1905"/>
      <c r="P138" s="519" t="str">
        <f t="shared" si="17"/>
        <v/>
      </c>
      <c r="Q138" s="515"/>
      <c r="R138" s="520" t="str">
        <f>IF($G$121&gt;=11,"11","")</f>
        <v/>
      </c>
      <c r="S138" s="1904" t="str">
        <f t="shared" si="18"/>
        <v/>
      </c>
      <c r="T138" s="1910"/>
      <c r="U138" s="518" t="str">
        <f t="shared" si="19"/>
        <v/>
      </c>
      <c r="V138" s="1911" t="str">
        <f>IF($G$121=11,$G$117,"")</f>
        <v/>
      </c>
      <c r="W138" s="1912"/>
      <c r="X138" s="519" t="str">
        <f t="shared" si="20"/>
        <v/>
      </c>
    </row>
    <row r="139" spans="1:24">
      <c r="A139" s="640">
        <f t="shared" si="21"/>
        <v>12</v>
      </c>
      <c r="B139" s="517" t="str">
        <f>IF($G$121&gt;=12,"12","")</f>
        <v/>
      </c>
      <c r="C139" s="1906" t="str">
        <f>IF($B$139="","",$C$138-$F$138)</f>
        <v/>
      </c>
      <c r="D139" s="1907"/>
      <c r="E139" s="531" t="str">
        <f>IF($B$139="","",$C$139*$G$65)</f>
        <v/>
      </c>
      <c r="F139" s="1908" t="str">
        <f t="shared" si="13"/>
        <v/>
      </c>
      <c r="G139" s="1909"/>
      <c r="H139" s="532" t="str">
        <f t="shared" si="14"/>
        <v/>
      </c>
      <c r="J139" s="517" t="str">
        <f>IF($G$121&gt;=12,"12","")</f>
        <v/>
      </c>
      <c r="K139" s="1904" t="str">
        <f t="shared" si="22"/>
        <v/>
      </c>
      <c r="L139" s="1905"/>
      <c r="M139" s="518" t="str">
        <f t="shared" si="15"/>
        <v/>
      </c>
      <c r="N139" s="1904" t="str">
        <f t="shared" si="16"/>
        <v/>
      </c>
      <c r="O139" s="1905"/>
      <c r="P139" s="519" t="str">
        <f t="shared" si="17"/>
        <v/>
      </c>
      <c r="Q139" s="515"/>
      <c r="R139" s="520" t="str">
        <f>IF($G$121&gt;=12,"12","")</f>
        <v/>
      </c>
      <c r="S139" s="1904" t="str">
        <f t="shared" si="18"/>
        <v/>
      </c>
      <c r="T139" s="1910"/>
      <c r="U139" s="518" t="str">
        <f t="shared" si="19"/>
        <v/>
      </c>
      <c r="V139" s="1911" t="str">
        <f>IF($G$121=12,$G$117,"")</f>
        <v/>
      </c>
      <c r="W139" s="1912"/>
      <c r="X139" s="519" t="str">
        <f t="shared" si="20"/>
        <v/>
      </c>
    </row>
    <row r="140" spans="1:24">
      <c r="A140" s="640">
        <f t="shared" si="21"/>
        <v>13</v>
      </c>
      <c r="B140" s="517" t="str">
        <f>IF($G$121&gt;=13,"13","")</f>
        <v/>
      </c>
      <c r="C140" s="1906" t="str">
        <f>IF($B$140="","",$C$139-$F$139)</f>
        <v/>
      </c>
      <c r="D140" s="1907"/>
      <c r="E140" s="531" t="str">
        <f t="shared" ref="E140:E167" si="23">IF(B140="","",C140*$G$65)</f>
        <v/>
      </c>
      <c r="F140" s="1908" t="str">
        <f t="shared" si="13"/>
        <v/>
      </c>
      <c r="G140" s="1909"/>
      <c r="H140" s="532" t="str">
        <f t="shared" si="14"/>
        <v/>
      </c>
      <c r="J140" s="517" t="str">
        <f>IF($G$121&gt;=13,"13","")</f>
        <v/>
      </c>
      <c r="K140" s="1904" t="str">
        <f t="shared" si="22"/>
        <v/>
      </c>
      <c r="L140" s="1905"/>
      <c r="M140" s="518" t="str">
        <f t="shared" si="15"/>
        <v/>
      </c>
      <c r="N140" s="1904" t="str">
        <f t="shared" si="16"/>
        <v/>
      </c>
      <c r="O140" s="1905"/>
      <c r="P140" s="519" t="str">
        <f t="shared" si="17"/>
        <v/>
      </c>
      <c r="Q140" s="515"/>
      <c r="R140" s="520" t="str">
        <f>IF($G$121&gt;=13,"13","")</f>
        <v/>
      </c>
      <c r="S140" s="1904" t="str">
        <f t="shared" si="18"/>
        <v/>
      </c>
      <c r="T140" s="1910"/>
      <c r="U140" s="518" t="str">
        <f t="shared" si="19"/>
        <v/>
      </c>
      <c r="V140" s="1911" t="str">
        <f>IF($G$121=13,$G$117,"")</f>
        <v/>
      </c>
      <c r="W140" s="1912"/>
      <c r="X140" s="519" t="str">
        <f t="shared" si="20"/>
        <v/>
      </c>
    </row>
    <row r="141" spans="1:24">
      <c r="A141" s="640">
        <f t="shared" si="21"/>
        <v>14</v>
      </c>
      <c r="B141" s="517" t="str">
        <f>IF($G$121&gt;=14,"14","")</f>
        <v/>
      </c>
      <c r="C141" s="1906" t="str">
        <f>IF($B$141="","",$C$140-$F$140)</f>
        <v/>
      </c>
      <c r="D141" s="1907"/>
      <c r="E141" s="531" t="str">
        <f t="shared" si="23"/>
        <v/>
      </c>
      <c r="F141" s="1908" t="str">
        <f t="shared" si="13"/>
        <v/>
      </c>
      <c r="G141" s="1909"/>
      <c r="H141" s="532" t="str">
        <f t="shared" si="14"/>
        <v/>
      </c>
      <c r="J141" s="517" t="str">
        <f>IF($G$121&gt;=14,"14","")</f>
        <v/>
      </c>
      <c r="K141" s="1904" t="str">
        <f t="shared" si="22"/>
        <v/>
      </c>
      <c r="L141" s="1905"/>
      <c r="M141" s="518" t="str">
        <f t="shared" si="15"/>
        <v/>
      </c>
      <c r="N141" s="1904" t="str">
        <f t="shared" si="16"/>
        <v/>
      </c>
      <c r="O141" s="1905"/>
      <c r="P141" s="519" t="str">
        <f t="shared" si="17"/>
        <v/>
      </c>
      <c r="Q141" s="515"/>
      <c r="R141" s="520" t="str">
        <f>IF($G$121&gt;=14,"14","")</f>
        <v/>
      </c>
      <c r="S141" s="1904" t="str">
        <f t="shared" si="18"/>
        <v/>
      </c>
      <c r="T141" s="1910"/>
      <c r="U141" s="518" t="str">
        <f t="shared" si="19"/>
        <v/>
      </c>
      <c r="V141" s="1911" t="str">
        <f>IF($G$121=14,$G$117,"")</f>
        <v/>
      </c>
      <c r="W141" s="1912"/>
      <c r="X141" s="519" t="str">
        <f t="shared" si="20"/>
        <v/>
      </c>
    </row>
    <row r="142" spans="1:24">
      <c r="A142" s="640">
        <f t="shared" si="21"/>
        <v>15</v>
      </c>
      <c r="B142" s="517" t="str">
        <f>IF($G$121&gt;=15,"15","")</f>
        <v/>
      </c>
      <c r="C142" s="1962" t="str">
        <f>IF($B$142="","",$C$141-$F$141)</f>
        <v/>
      </c>
      <c r="D142" s="1963"/>
      <c r="E142" s="531" t="str">
        <f t="shared" si="23"/>
        <v/>
      </c>
      <c r="F142" s="1908" t="str">
        <f t="shared" si="13"/>
        <v/>
      </c>
      <c r="G142" s="1909"/>
      <c r="H142" s="532" t="str">
        <f t="shared" si="14"/>
        <v/>
      </c>
      <c r="J142" s="517" t="str">
        <f>IF($G$121&gt;=15,"15","")</f>
        <v/>
      </c>
      <c r="K142" s="1904" t="str">
        <f t="shared" si="22"/>
        <v/>
      </c>
      <c r="L142" s="1905"/>
      <c r="M142" s="518" t="str">
        <f t="shared" si="15"/>
        <v/>
      </c>
      <c r="N142" s="1904" t="str">
        <f t="shared" si="16"/>
        <v/>
      </c>
      <c r="O142" s="1905"/>
      <c r="P142" s="519" t="str">
        <f t="shared" si="17"/>
        <v/>
      </c>
      <c r="Q142" s="515"/>
      <c r="R142" s="520" t="str">
        <f>IF($G$121&gt;=15,"15","")</f>
        <v/>
      </c>
      <c r="S142" s="1904" t="str">
        <f t="shared" si="18"/>
        <v/>
      </c>
      <c r="T142" s="1910"/>
      <c r="U142" s="518" t="str">
        <f t="shared" si="19"/>
        <v/>
      </c>
      <c r="V142" s="1911" t="str">
        <f>IF($G$121=15,$G$117,"")</f>
        <v/>
      </c>
      <c r="W142" s="1912"/>
      <c r="X142" s="519" t="str">
        <f t="shared" si="20"/>
        <v/>
      </c>
    </row>
    <row r="143" spans="1:24">
      <c r="A143" s="640">
        <f t="shared" si="21"/>
        <v>16</v>
      </c>
      <c r="B143" s="517" t="str">
        <f>IF($G$121&gt;=16,"16","")</f>
        <v/>
      </c>
      <c r="C143" s="1906" t="str">
        <f>IF($B$143="","",$C$142-$F$142)</f>
        <v/>
      </c>
      <c r="D143" s="1907"/>
      <c r="E143" s="639" t="str">
        <f t="shared" si="23"/>
        <v/>
      </c>
      <c r="F143" s="1908" t="str">
        <f t="shared" si="13"/>
        <v/>
      </c>
      <c r="G143" s="1909"/>
      <c r="H143" s="532" t="str">
        <f t="shared" si="14"/>
        <v/>
      </c>
      <c r="J143" s="517" t="str">
        <f>IF($G$121&gt;=16,"16","")</f>
        <v/>
      </c>
      <c r="K143" s="1904" t="str">
        <f t="shared" si="22"/>
        <v/>
      </c>
      <c r="L143" s="1905"/>
      <c r="M143" s="518" t="str">
        <f t="shared" si="15"/>
        <v/>
      </c>
      <c r="N143" s="1904" t="str">
        <f t="shared" si="16"/>
        <v/>
      </c>
      <c r="O143" s="1905"/>
      <c r="P143" s="519" t="str">
        <f t="shared" si="17"/>
        <v/>
      </c>
      <c r="Q143" s="515"/>
      <c r="R143" s="520" t="str">
        <f>IF($G$121&gt;=16,"16","")</f>
        <v/>
      </c>
      <c r="S143" s="1904" t="str">
        <f t="shared" si="18"/>
        <v/>
      </c>
      <c r="T143" s="1910"/>
      <c r="U143" s="518" t="str">
        <f t="shared" si="19"/>
        <v/>
      </c>
      <c r="V143" s="1911" t="str">
        <f>IF($G$121=16,$G$117,"")</f>
        <v/>
      </c>
      <c r="W143" s="1912"/>
      <c r="X143" s="519" t="str">
        <f t="shared" si="20"/>
        <v/>
      </c>
    </row>
    <row r="144" spans="1:24">
      <c r="A144" s="640">
        <f t="shared" si="21"/>
        <v>17</v>
      </c>
      <c r="B144" s="517" t="str">
        <f>IF($G$121&gt;=17,"17","")</f>
        <v/>
      </c>
      <c r="C144" s="1964" t="str">
        <f>IF($B$144="","",$C$143-$F$143)</f>
        <v/>
      </c>
      <c r="D144" s="1965"/>
      <c r="E144" s="531" t="str">
        <f t="shared" si="23"/>
        <v/>
      </c>
      <c r="F144" s="1908" t="str">
        <f t="shared" si="13"/>
        <v/>
      </c>
      <c r="G144" s="1909"/>
      <c r="H144" s="532" t="str">
        <f t="shared" si="14"/>
        <v/>
      </c>
      <c r="J144" s="517" t="str">
        <f>IF($G$121&gt;=17,"17","")</f>
        <v/>
      </c>
      <c r="K144" s="1904" t="str">
        <f t="shared" si="22"/>
        <v/>
      </c>
      <c r="L144" s="1905"/>
      <c r="M144" s="518" t="str">
        <f t="shared" si="15"/>
        <v/>
      </c>
      <c r="N144" s="1904" t="str">
        <f t="shared" si="16"/>
        <v/>
      </c>
      <c r="O144" s="1905"/>
      <c r="P144" s="519" t="str">
        <f t="shared" si="17"/>
        <v/>
      </c>
      <c r="Q144" s="515"/>
      <c r="R144" s="520" t="str">
        <f>IF($G$121&gt;=17,"17","")</f>
        <v/>
      </c>
      <c r="S144" s="1904" t="str">
        <f t="shared" si="18"/>
        <v/>
      </c>
      <c r="T144" s="1910"/>
      <c r="U144" s="518" t="str">
        <f t="shared" si="19"/>
        <v/>
      </c>
      <c r="V144" s="1911" t="str">
        <f>IF($G$121=17,$G$117,"")</f>
        <v/>
      </c>
      <c r="W144" s="1912"/>
      <c r="X144" s="519" t="str">
        <f t="shared" si="20"/>
        <v/>
      </c>
    </row>
    <row r="145" spans="1:24">
      <c r="A145" s="640">
        <f t="shared" si="21"/>
        <v>18</v>
      </c>
      <c r="B145" s="517" t="str">
        <f>IF($G$121&gt;=18,"18","")</f>
        <v/>
      </c>
      <c r="C145" s="1906" t="str">
        <f>IF($B$145="","",$C$144-$F$144)</f>
        <v/>
      </c>
      <c r="D145" s="1907"/>
      <c r="E145" s="531" t="str">
        <f t="shared" si="23"/>
        <v/>
      </c>
      <c r="F145" s="1908" t="str">
        <f t="shared" si="13"/>
        <v/>
      </c>
      <c r="G145" s="1909"/>
      <c r="H145" s="532" t="str">
        <f t="shared" si="14"/>
        <v/>
      </c>
      <c r="J145" s="517" t="str">
        <f>IF($G$121&gt;=18,"18","")</f>
        <v/>
      </c>
      <c r="K145" s="1904" t="str">
        <f t="shared" si="22"/>
        <v/>
      </c>
      <c r="L145" s="1905"/>
      <c r="M145" s="518" t="str">
        <f t="shared" si="15"/>
        <v/>
      </c>
      <c r="N145" s="1904" t="str">
        <f t="shared" si="16"/>
        <v/>
      </c>
      <c r="O145" s="1905"/>
      <c r="P145" s="519" t="str">
        <f t="shared" si="17"/>
        <v/>
      </c>
      <c r="Q145" s="515"/>
      <c r="R145" s="520" t="str">
        <f>IF($G$121&gt;=18,"18","")</f>
        <v/>
      </c>
      <c r="S145" s="1904" t="str">
        <f t="shared" si="18"/>
        <v/>
      </c>
      <c r="T145" s="1910"/>
      <c r="U145" s="518" t="str">
        <f t="shared" si="19"/>
        <v/>
      </c>
      <c r="V145" s="1911" t="str">
        <f>IF($G$121=18,$G$117,"")</f>
        <v/>
      </c>
      <c r="W145" s="1912"/>
      <c r="X145" s="519" t="str">
        <f t="shared" si="20"/>
        <v/>
      </c>
    </row>
    <row r="146" spans="1:24">
      <c r="A146" s="640">
        <f t="shared" si="21"/>
        <v>19</v>
      </c>
      <c r="B146" s="517" t="str">
        <f>IF($G$121&gt;=19,"19","")</f>
        <v/>
      </c>
      <c r="C146" s="1906" t="str">
        <f>IF($B$146="","",$C$145-$F$145)</f>
        <v/>
      </c>
      <c r="D146" s="1907"/>
      <c r="E146" s="531" t="str">
        <f t="shared" si="23"/>
        <v/>
      </c>
      <c r="F146" s="1908" t="str">
        <f t="shared" si="13"/>
        <v/>
      </c>
      <c r="G146" s="1909"/>
      <c r="H146" s="532" t="str">
        <f t="shared" si="14"/>
        <v/>
      </c>
      <c r="J146" s="517" t="str">
        <f>IF($G$121&gt;=19,"19","")</f>
        <v/>
      </c>
      <c r="K146" s="1904" t="str">
        <f t="shared" si="22"/>
        <v/>
      </c>
      <c r="L146" s="1905"/>
      <c r="M146" s="518" t="str">
        <f t="shared" si="15"/>
        <v/>
      </c>
      <c r="N146" s="1904" t="str">
        <f t="shared" si="16"/>
        <v/>
      </c>
      <c r="O146" s="1905"/>
      <c r="P146" s="519" t="str">
        <f t="shared" si="17"/>
        <v/>
      </c>
      <c r="Q146" s="515"/>
      <c r="R146" s="520" t="str">
        <f>IF($G$121&gt;=19,"19","")</f>
        <v/>
      </c>
      <c r="S146" s="1904" t="str">
        <f t="shared" si="18"/>
        <v/>
      </c>
      <c r="T146" s="1910"/>
      <c r="U146" s="518" t="str">
        <f t="shared" si="19"/>
        <v/>
      </c>
      <c r="V146" s="1911" t="str">
        <f>IF($G$121=19,$G$117,"")</f>
        <v/>
      </c>
      <c r="W146" s="1912"/>
      <c r="X146" s="519" t="str">
        <f t="shared" si="20"/>
        <v/>
      </c>
    </row>
    <row r="147" spans="1:24">
      <c r="A147" s="640">
        <f t="shared" si="21"/>
        <v>20</v>
      </c>
      <c r="B147" s="517" t="str">
        <f>IF($G$121&gt;=20,"20","")</f>
        <v/>
      </c>
      <c r="C147" s="1906" t="str">
        <f>IF($B$147="","",$C$146-$F$146)</f>
        <v/>
      </c>
      <c r="D147" s="1907"/>
      <c r="E147" s="531" t="str">
        <f t="shared" si="23"/>
        <v/>
      </c>
      <c r="F147" s="1908" t="str">
        <f t="shared" si="13"/>
        <v/>
      </c>
      <c r="G147" s="1909"/>
      <c r="H147" s="532" t="str">
        <f t="shared" si="14"/>
        <v/>
      </c>
      <c r="J147" s="517" t="str">
        <f>IF($G$121&gt;=20,"20","")</f>
        <v/>
      </c>
      <c r="K147" s="1904" t="str">
        <f t="shared" si="22"/>
        <v/>
      </c>
      <c r="L147" s="1905"/>
      <c r="M147" s="518" t="str">
        <f t="shared" si="15"/>
        <v/>
      </c>
      <c r="N147" s="1904" t="str">
        <f t="shared" si="16"/>
        <v/>
      </c>
      <c r="O147" s="1905"/>
      <c r="P147" s="519" t="str">
        <f t="shared" si="17"/>
        <v/>
      </c>
      <c r="Q147" s="515"/>
      <c r="R147" s="520" t="str">
        <f>IF($G$121&gt;=20,"20","")</f>
        <v/>
      </c>
      <c r="S147" s="1904" t="str">
        <f t="shared" si="18"/>
        <v/>
      </c>
      <c r="T147" s="1910"/>
      <c r="U147" s="518" t="str">
        <f t="shared" si="19"/>
        <v/>
      </c>
      <c r="V147" s="1911" t="str">
        <f>IF($G$121=20,$G$117,"")</f>
        <v/>
      </c>
      <c r="W147" s="1912"/>
      <c r="X147" s="519" t="str">
        <f t="shared" si="20"/>
        <v/>
      </c>
    </row>
    <row r="148" spans="1:24">
      <c r="A148" s="640">
        <f t="shared" si="21"/>
        <v>21</v>
      </c>
      <c r="B148" s="517" t="str">
        <f>IF($G$121&gt;=21,"21","")</f>
        <v/>
      </c>
      <c r="C148" s="1906" t="str">
        <f>IF($B$148="","",$C$147-$F$147)</f>
        <v/>
      </c>
      <c r="D148" s="1907"/>
      <c r="E148" s="531" t="str">
        <f t="shared" si="23"/>
        <v/>
      </c>
      <c r="F148" s="1908" t="str">
        <f t="shared" si="13"/>
        <v/>
      </c>
      <c r="G148" s="1909"/>
      <c r="H148" s="532" t="str">
        <f t="shared" si="14"/>
        <v/>
      </c>
      <c r="J148" s="517" t="str">
        <f>IF($G$121&gt;=21,"21","")</f>
        <v/>
      </c>
      <c r="K148" s="1904" t="str">
        <f t="shared" si="22"/>
        <v/>
      </c>
      <c r="L148" s="1905"/>
      <c r="M148" s="518" t="str">
        <f t="shared" si="15"/>
        <v/>
      </c>
      <c r="N148" s="1904" t="str">
        <f t="shared" si="16"/>
        <v/>
      </c>
      <c r="O148" s="1905"/>
      <c r="P148" s="519" t="str">
        <f t="shared" si="17"/>
        <v/>
      </c>
      <c r="Q148" s="515"/>
      <c r="R148" s="520" t="str">
        <f>IF($G$121&gt;=21,"21","")</f>
        <v/>
      </c>
      <c r="S148" s="1904" t="str">
        <f t="shared" si="18"/>
        <v/>
      </c>
      <c r="T148" s="1910"/>
      <c r="U148" s="518" t="str">
        <f t="shared" si="19"/>
        <v/>
      </c>
      <c r="V148" s="1911" t="str">
        <f>IF($G$121=21,$G$117,"")</f>
        <v/>
      </c>
      <c r="W148" s="1912"/>
      <c r="X148" s="519" t="str">
        <f t="shared" si="20"/>
        <v/>
      </c>
    </row>
    <row r="149" spans="1:24">
      <c r="A149" s="640">
        <f t="shared" si="21"/>
        <v>22</v>
      </c>
      <c r="B149" s="517" t="str">
        <f>IF($G$121&gt;=22,"22","")</f>
        <v/>
      </c>
      <c r="C149" s="1906" t="str">
        <f>IF($B$149="","",$C$148-$F$148)</f>
        <v/>
      </c>
      <c r="D149" s="1907"/>
      <c r="E149" s="531" t="str">
        <f t="shared" si="23"/>
        <v/>
      </c>
      <c r="F149" s="1908" t="str">
        <f t="shared" si="13"/>
        <v/>
      </c>
      <c r="G149" s="1909"/>
      <c r="H149" s="532" t="str">
        <f t="shared" si="14"/>
        <v/>
      </c>
      <c r="J149" s="517" t="str">
        <f>IF($G$121&gt;=22,"22","")</f>
        <v/>
      </c>
      <c r="K149" s="1904" t="str">
        <f t="shared" si="22"/>
        <v/>
      </c>
      <c r="L149" s="1905"/>
      <c r="M149" s="518" t="str">
        <f t="shared" si="15"/>
        <v/>
      </c>
      <c r="N149" s="1904" t="str">
        <f t="shared" si="16"/>
        <v/>
      </c>
      <c r="O149" s="1905"/>
      <c r="P149" s="519" t="str">
        <f t="shared" si="17"/>
        <v/>
      </c>
      <c r="Q149" s="515"/>
      <c r="R149" s="520" t="str">
        <f>IF($G$121&gt;=22,"22","")</f>
        <v/>
      </c>
      <c r="S149" s="1904" t="str">
        <f t="shared" si="18"/>
        <v/>
      </c>
      <c r="T149" s="1910"/>
      <c r="U149" s="518" t="str">
        <f t="shared" si="19"/>
        <v/>
      </c>
      <c r="V149" s="1911" t="str">
        <f>IF($G$121=22,$G$117,"")</f>
        <v/>
      </c>
      <c r="W149" s="1912"/>
      <c r="X149" s="519" t="str">
        <f t="shared" si="20"/>
        <v/>
      </c>
    </row>
    <row r="150" spans="1:24">
      <c r="A150" s="640">
        <f t="shared" si="21"/>
        <v>23</v>
      </c>
      <c r="B150" s="517" t="str">
        <f>IF($G$121&gt;=23,"23","")</f>
        <v/>
      </c>
      <c r="C150" s="1906" t="str">
        <f>IF($B$150="","",$C$149-$F$149)</f>
        <v/>
      </c>
      <c r="D150" s="1907"/>
      <c r="E150" s="531" t="str">
        <f t="shared" si="23"/>
        <v/>
      </c>
      <c r="F150" s="1908" t="str">
        <f t="shared" si="13"/>
        <v/>
      </c>
      <c r="G150" s="1909"/>
      <c r="H150" s="532" t="str">
        <f t="shared" si="14"/>
        <v/>
      </c>
      <c r="J150" s="517" t="str">
        <f>IF($G$121&gt;=23,"23","")</f>
        <v/>
      </c>
      <c r="K150" s="1904" t="str">
        <f t="shared" si="22"/>
        <v/>
      </c>
      <c r="L150" s="1905"/>
      <c r="M150" s="518" t="str">
        <f t="shared" si="15"/>
        <v/>
      </c>
      <c r="N150" s="1904" t="str">
        <f t="shared" si="16"/>
        <v/>
      </c>
      <c r="O150" s="1905"/>
      <c r="P150" s="519" t="str">
        <f t="shared" si="17"/>
        <v/>
      </c>
      <c r="Q150" s="515"/>
      <c r="R150" s="520" t="str">
        <f>IF($G$121&gt;=23,"23","")</f>
        <v/>
      </c>
      <c r="S150" s="1904" t="str">
        <f t="shared" si="18"/>
        <v/>
      </c>
      <c r="T150" s="1910"/>
      <c r="U150" s="518" t="str">
        <f t="shared" si="19"/>
        <v/>
      </c>
      <c r="V150" s="1911" t="str">
        <f>IF($G$121=23,$G$117,"")</f>
        <v/>
      </c>
      <c r="W150" s="1912"/>
      <c r="X150" s="519" t="str">
        <f t="shared" si="20"/>
        <v/>
      </c>
    </row>
    <row r="151" spans="1:24">
      <c r="A151" s="640">
        <f t="shared" si="21"/>
        <v>24</v>
      </c>
      <c r="B151" s="517" t="str">
        <f>IF($G$121&gt;=24,"24","")</f>
        <v/>
      </c>
      <c r="C151" s="1906" t="str">
        <f>IF($B$151="","",$C$150-$F$150)</f>
        <v/>
      </c>
      <c r="D151" s="1907"/>
      <c r="E151" s="531" t="str">
        <f t="shared" si="23"/>
        <v/>
      </c>
      <c r="F151" s="1908" t="str">
        <f t="shared" si="13"/>
        <v/>
      </c>
      <c r="G151" s="1909"/>
      <c r="H151" s="532" t="str">
        <f t="shared" si="14"/>
        <v/>
      </c>
      <c r="J151" s="517" t="str">
        <f>IF($G$121&gt;=24,"24","")</f>
        <v/>
      </c>
      <c r="K151" s="1904" t="str">
        <f t="shared" si="22"/>
        <v/>
      </c>
      <c r="L151" s="1905"/>
      <c r="M151" s="518" t="str">
        <f t="shared" si="15"/>
        <v/>
      </c>
      <c r="N151" s="1904" t="str">
        <f t="shared" si="16"/>
        <v/>
      </c>
      <c r="O151" s="1905"/>
      <c r="P151" s="519" t="str">
        <f t="shared" si="17"/>
        <v/>
      </c>
      <c r="Q151" s="515"/>
      <c r="R151" s="520" t="str">
        <f>IF($G$121&gt;=24,"24","")</f>
        <v/>
      </c>
      <c r="S151" s="1904" t="str">
        <f t="shared" si="18"/>
        <v/>
      </c>
      <c r="T151" s="1910"/>
      <c r="U151" s="518" t="str">
        <f t="shared" si="19"/>
        <v/>
      </c>
      <c r="V151" s="1911" t="str">
        <f>IF($G$121=24,$G$117,"")</f>
        <v/>
      </c>
      <c r="W151" s="1912"/>
      <c r="X151" s="519" t="str">
        <f t="shared" si="20"/>
        <v/>
      </c>
    </row>
    <row r="152" spans="1:24">
      <c r="A152" s="640">
        <f t="shared" si="21"/>
        <v>25</v>
      </c>
      <c r="B152" s="517" t="str">
        <f>IF($G$121&gt;=25,"25","")</f>
        <v/>
      </c>
      <c r="C152" s="1906" t="str">
        <f>IF($B$152="","",$C$151-$F$151)</f>
        <v/>
      </c>
      <c r="D152" s="1907"/>
      <c r="E152" s="531" t="str">
        <f t="shared" si="23"/>
        <v/>
      </c>
      <c r="F152" s="1908" t="str">
        <f t="shared" si="13"/>
        <v/>
      </c>
      <c r="G152" s="1909"/>
      <c r="H152" s="532" t="str">
        <f t="shared" si="14"/>
        <v/>
      </c>
      <c r="J152" s="517" t="str">
        <f>IF($G$121&gt;=25,"25","")</f>
        <v/>
      </c>
      <c r="K152" s="1904" t="str">
        <f t="shared" si="22"/>
        <v/>
      </c>
      <c r="L152" s="1905"/>
      <c r="M152" s="518" t="str">
        <f t="shared" si="15"/>
        <v/>
      </c>
      <c r="N152" s="1904" t="str">
        <f t="shared" si="16"/>
        <v/>
      </c>
      <c r="O152" s="1905"/>
      <c r="P152" s="519" t="str">
        <f t="shared" si="17"/>
        <v/>
      </c>
      <c r="Q152" s="515"/>
      <c r="R152" s="520" t="str">
        <f>IF($G$121&gt;=25,"25","")</f>
        <v/>
      </c>
      <c r="S152" s="1904" t="str">
        <f t="shared" si="18"/>
        <v/>
      </c>
      <c r="T152" s="1910"/>
      <c r="U152" s="518" t="str">
        <f t="shared" si="19"/>
        <v/>
      </c>
      <c r="V152" s="1911" t="str">
        <f>IF($G$121=25,$G$117,"")</f>
        <v/>
      </c>
      <c r="W152" s="1912"/>
      <c r="X152" s="519" t="str">
        <f t="shared" si="20"/>
        <v/>
      </c>
    </row>
    <row r="153" spans="1:24">
      <c r="A153" s="640">
        <f t="shared" si="21"/>
        <v>26</v>
      </c>
      <c r="B153" s="517" t="str">
        <f>IF($G$121&gt;=26,"26","")</f>
        <v/>
      </c>
      <c r="C153" s="1906" t="str">
        <f>IF($B$153="","",$C$152-$F$152)</f>
        <v/>
      </c>
      <c r="D153" s="1907"/>
      <c r="E153" s="531" t="str">
        <f t="shared" si="23"/>
        <v/>
      </c>
      <c r="F153" s="1908" t="str">
        <f t="shared" si="13"/>
        <v/>
      </c>
      <c r="G153" s="1909"/>
      <c r="H153" s="532" t="str">
        <f t="shared" si="14"/>
        <v/>
      </c>
      <c r="J153" s="517" t="str">
        <f>IF($G$121&gt;=26,"26","")</f>
        <v/>
      </c>
      <c r="K153" s="1904" t="str">
        <f t="shared" si="22"/>
        <v/>
      </c>
      <c r="L153" s="1905"/>
      <c r="M153" s="518" t="str">
        <f t="shared" si="15"/>
        <v/>
      </c>
      <c r="N153" s="1904" t="str">
        <f t="shared" si="16"/>
        <v/>
      </c>
      <c r="O153" s="1905"/>
      <c r="P153" s="519" t="str">
        <f t="shared" si="17"/>
        <v/>
      </c>
      <c r="Q153" s="515"/>
      <c r="R153" s="520" t="str">
        <f>IF($G$121&gt;=26,"26","")</f>
        <v/>
      </c>
      <c r="S153" s="1904" t="str">
        <f t="shared" si="18"/>
        <v/>
      </c>
      <c r="T153" s="1910"/>
      <c r="U153" s="518" t="str">
        <f t="shared" si="19"/>
        <v/>
      </c>
      <c r="V153" s="1911" t="str">
        <f>IF($G$121=26,$G$117,"")</f>
        <v/>
      </c>
      <c r="W153" s="1912"/>
      <c r="X153" s="519" t="str">
        <f t="shared" si="20"/>
        <v/>
      </c>
    </row>
    <row r="154" spans="1:24">
      <c r="A154" s="640">
        <f t="shared" si="21"/>
        <v>27</v>
      </c>
      <c r="B154" s="517" t="str">
        <f>IF($G$121&gt;=27,"27","")</f>
        <v/>
      </c>
      <c r="C154" s="1906" t="str">
        <f>IF($B$154="","",$C$153-$F$153)</f>
        <v/>
      </c>
      <c r="D154" s="1907"/>
      <c r="E154" s="531" t="str">
        <f t="shared" si="23"/>
        <v/>
      </c>
      <c r="F154" s="1908" t="str">
        <f t="shared" si="13"/>
        <v/>
      </c>
      <c r="G154" s="1909"/>
      <c r="H154" s="532" t="str">
        <f t="shared" si="14"/>
        <v/>
      </c>
      <c r="J154" s="517" t="str">
        <f>IF($G$121&gt;=27,"27","")</f>
        <v/>
      </c>
      <c r="K154" s="1904" t="str">
        <f t="shared" si="22"/>
        <v/>
      </c>
      <c r="L154" s="1905"/>
      <c r="M154" s="518" t="str">
        <f t="shared" si="15"/>
        <v/>
      </c>
      <c r="N154" s="1904" t="str">
        <f t="shared" si="16"/>
        <v/>
      </c>
      <c r="O154" s="1905"/>
      <c r="P154" s="519" t="str">
        <f t="shared" si="17"/>
        <v/>
      </c>
      <c r="Q154" s="515"/>
      <c r="R154" s="520" t="str">
        <f>IF($G$121&gt;=27,"27","")</f>
        <v/>
      </c>
      <c r="S154" s="1904" t="str">
        <f t="shared" si="18"/>
        <v/>
      </c>
      <c r="T154" s="1910"/>
      <c r="U154" s="518" t="str">
        <f t="shared" si="19"/>
        <v/>
      </c>
      <c r="V154" s="1911" t="str">
        <f>IF($G$121=27,$G$117,"")</f>
        <v/>
      </c>
      <c r="W154" s="1912"/>
      <c r="X154" s="519" t="str">
        <f t="shared" si="20"/>
        <v/>
      </c>
    </row>
    <row r="155" spans="1:24">
      <c r="A155" s="640">
        <f t="shared" si="21"/>
        <v>28</v>
      </c>
      <c r="B155" s="517" t="str">
        <f>IF($G$121&gt;=28,"28","")</f>
        <v/>
      </c>
      <c r="C155" s="1906" t="str">
        <f>IF($B$155="","",$C$154-$F$154)</f>
        <v/>
      </c>
      <c r="D155" s="1907"/>
      <c r="E155" s="531" t="str">
        <f t="shared" si="23"/>
        <v/>
      </c>
      <c r="F155" s="1908" t="str">
        <f t="shared" si="13"/>
        <v/>
      </c>
      <c r="G155" s="1909"/>
      <c r="H155" s="532" t="str">
        <f t="shared" si="14"/>
        <v/>
      </c>
      <c r="J155" s="517" t="str">
        <f>IF($G$121&gt;=28,"28","")</f>
        <v/>
      </c>
      <c r="K155" s="1904" t="str">
        <f t="shared" si="22"/>
        <v/>
      </c>
      <c r="L155" s="1905"/>
      <c r="M155" s="518" t="str">
        <f t="shared" si="15"/>
        <v/>
      </c>
      <c r="N155" s="1904" t="str">
        <f t="shared" si="16"/>
        <v/>
      </c>
      <c r="O155" s="1905"/>
      <c r="P155" s="519" t="str">
        <f t="shared" si="17"/>
        <v/>
      </c>
      <c r="Q155" s="515"/>
      <c r="R155" s="520" t="str">
        <f>IF($G$121&gt;=28,"28","")</f>
        <v/>
      </c>
      <c r="S155" s="1904" t="str">
        <f t="shared" si="18"/>
        <v/>
      </c>
      <c r="T155" s="1910"/>
      <c r="U155" s="518" t="str">
        <f t="shared" si="19"/>
        <v/>
      </c>
      <c r="V155" s="1911" t="str">
        <f>IF($G$121=28,$G$117,"")</f>
        <v/>
      </c>
      <c r="W155" s="1912"/>
      <c r="X155" s="519" t="str">
        <f t="shared" si="20"/>
        <v/>
      </c>
    </row>
    <row r="156" spans="1:24">
      <c r="A156" s="640">
        <f t="shared" si="21"/>
        <v>29</v>
      </c>
      <c r="B156" s="517" t="str">
        <f>IF($G$121&gt;=29,"29","")</f>
        <v/>
      </c>
      <c r="C156" s="1906" t="str">
        <f>IF($B$156="","",$C$155-$F$155)</f>
        <v/>
      </c>
      <c r="D156" s="1907"/>
      <c r="E156" s="531" t="str">
        <f t="shared" si="23"/>
        <v/>
      </c>
      <c r="F156" s="1908" t="str">
        <f t="shared" si="13"/>
        <v/>
      </c>
      <c r="G156" s="1909"/>
      <c r="H156" s="532" t="str">
        <f t="shared" si="14"/>
        <v/>
      </c>
      <c r="J156" s="517" t="str">
        <f>IF($G$121&gt;=29,"29","")</f>
        <v/>
      </c>
      <c r="K156" s="1904" t="str">
        <f t="shared" si="22"/>
        <v/>
      </c>
      <c r="L156" s="1905"/>
      <c r="M156" s="518" t="str">
        <f t="shared" si="15"/>
        <v/>
      </c>
      <c r="N156" s="1904" t="str">
        <f t="shared" si="16"/>
        <v/>
      </c>
      <c r="O156" s="1905"/>
      <c r="P156" s="519" t="str">
        <f t="shared" si="17"/>
        <v/>
      </c>
      <c r="Q156" s="515"/>
      <c r="R156" s="520" t="str">
        <f>IF($G$121&gt;=29,"29","")</f>
        <v/>
      </c>
      <c r="S156" s="1904" t="str">
        <f t="shared" si="18"/>
        <v/>
      </c>
      <c r="T156" s="1910"/>
      <c r="U156" s="518" t="str">
        <f t="shared" si="19"/>
        <v/>
      </c>
      <c r="V156" s="1911" t="str">
        <f>IF($G$121=29,$G$117,"")</f>
        <v/>
      </c>
      <c r="W156" s="1912"/>
      <c r="X156" s="519" t="str">
        <f t="shared" si="20"/>
        <v/>
      </c>
    </row>
    <row r="157" spans="1:24">
      <c r="A157" s="640">
        <f t="shared" si="21"/>
        <v>30</v>
      </c>
      <c r="B157" s="517" t="str">
        <f>IF($G$121&gt;=30,"30","")</f>
        <v/>
      </c>
      <c r="C157" s="1906" t="str">
        <f>IF($B$157="","",$C$156-$F$156)</f>
        <v/>
      </c>
      <c r="D157" s="1907"/>
      <c r="E157" s="531" t="str">
        <f t="shared" si="23"/>
        <v/>
      </c>
      <c r="F157" s="1908" t="str">
        <f t="shared" si="13"/>
        <v/>
      </c>
      <c r="G157" s="1909"/>
      <c r="H157" s="532" t="str">
        <f t="shared" si="14"/>
        <v/>
      </c>
      <c r="J157" s="517" t="str">
        <f>IF($G$121&gt;=30,"30","")</f>
        <v/>
      </c>
      <c r="K157" s="1904" t="str">
        <f t="shared" si="22"/>
        <v/>
      </c>
      <c r="L157" s="1905"/>
      <c r="M157" s="518" t="str">
        <f t="shared" si="15"/>
        <v/>
      </c>
      <c r="N157" s="1904" t="str">
        <f t="shared" si="16"/>
        <v/>
      </c>
      <c r="O157" s="1905"/>
      <c r="P157" s="519" t="str">
        <f t="shared" si="17"/>
        <v/>
      </c>
      <c r="Q157" s="515"/>
      <c r="R157" s="520" t="str">
        <f>IF($G$121&gt;=30,"30","")</f>
        <v/>
      </c>
      <c r="S157" s="1904" t="str">
        <f t="shared" si="18"/>
        <v/>
      </c>
      <c r="T157" s="1910"/>
      <c r="U157" s="518" t="str">
        <f t="shared" si="19"/>
        <v/>
      </c>
      <c r="V157" s="1911" t="str">
        <f>IF($G$121=30,$G$117,"")</f>
        <v/>
      </c>
      <c r="W157" s="1912"/>
      <c r="X157" s="519" t="str">
        <f t="shared" si="20"/>
        <v/>
      </c>
    </row>
    <row r="158" spans="1:24">
      <c r="A158" s="640">
        <f t="shared" si="21"/>
        <v>31</v>
      </c>
      <c r="B158" s="517" t="str">
        <f>IF($G$121&gt;=31,"31","")</f>
        <v/>
      </c>
      <c r="C158" s="1906" t="str">
        <f>IF($B$158="","",$C$157-$F$157)</f>
        <v/>
      </c>
      <c r="D158" s="1907"/>
      <c r="E158" s="531" t="str">
        <f t="shared" si="23"/>
        <v/>
      </c>
      <c r="F158" s="1908" t="str">
        <f t="shared" si="13"/>
        <v/>
      </c>
      <c r="G158" s="1909"/>
      <c r="H158" s="532" t="str">
        <f t="shared" si="14"/>
        <v/>
      </c>
      <c r="J158" s="517" t="str">
        <f>IF($G$121=31,"31","")</f>
        <v/>
      </c>
      <c r="K158" s="1904" t="str">
        <f t="shared" si="22"/>
        <v/>
      </c>
      <c r="L158" s="1905"/>
      <c r="M158" s="518" t="str">
        <f t="shared" si="15"/>
        <v/>
      </c>
      <c r="N158" s="1904" t="str">
        <f t="shared" si="16"/>
        <v/>
      </c>
      <c r="O158" s="1905"/>
      <c r="P158" s="519" t="str">
        <f t="shared" si="17"/>
        <v/>
      </c>
      <c r="Q158" s="515"/>
      <c r="R158" s="520" t="str">
        <f>IF($G$121&gt;=31,"31","")</f>
        <v/>
      </c>
      <c r="S158" s="1904" t="str">
        <f t="shared" si="18"/>
        <v/>
      </c>
      <c r="T158" s="1910"/>
      <c r="U158" s="518" t="str">
        <f t="shared" si="19"/>
        <v/>
      </c>
      <c r="V158" s="1911" t="str">
        <f>IF($G$121=31,$G$117,"")</f>
        <v/>
      </c>
      <c r="W158" s="1912"/>
      <c r="X158" s="519" t="str">
        <f t="shared" si="20"/>
        <v/>
      </c>
    </row>
    <row r="159" spans="1:24">
      <c r="A159" s="640">
        <f t="shared" si="21"/>
        <v>32</v>
      </c>
      <c r="B159" s="517" t="str">
        <f>IF($G$121&gt;=32,"32","")</f>
        <v/>
      </c>
      <c r="C159" s="1906" t="str">
        <f>IF($B$159="","",$C$158-$F$158)</f>
        <v/>
      </c>
      <c r="D159" s="1907"/>
      <c r="E159" s="531" t="str">
        <f t="shared" si="23"/>
        <v/>
      </c>
      <c r="F159" s="1908" t="str">
        <f t="shared" si="13"/>
        <v/>
      </c>
      <c r="G159" s="1909"/>
      <c r="H159" s="532" t="str">
        <f t="shared" si="14"/>
        <v/>
      </c>
      <c r="J159" s="517" t="str">
        <f>IF($G$121&gt;=32,"32","")</f>
        <v/>
      </c>
      <c r="K159" s="1904" t="str">
        <f t="shared" si="22"/>
        <v/>
      </c>
      <c r="L159" s="1905"/>
      <c r="M159" s="518" t="str">
        <f t="shared" si="15"/>
        <v/>
      </c>
      <c r="N159" s="1904" t="str">
        <f t="shared" si="16"/>
        <v/>
      </c>
      <c r="O159" s="1905"/>
      <c r="P159" s="519" t="str">
        <f t="shared" si="17"/>
        <v/>
      </c>
      <c r="Q159" s="515"/>
      <c r="R159" s="520" t="str">
        <f>IF($G$121&gt;=32,"32","")</f>
        <v/>
      </c>
      <c r="S159" s="1904" t="str">
        <f t="shared" si="18"/>
        <v/>
      </c>
      <c r="T159" s="1910"/>
      <c r="U159" s="518" t="str">
        <f t="shared" si="19"/>
        <v/>
      </c>
      <c r="V159" s="1911" t="str">
        <f>IF($G$121=32,$G$117,"")</f>
        <v/>
      </c>
      <c r="W159" s="1912"/>
      <c r="X159" s="519" t="str">
        <f t="shared" si="20"/>
        <v/>
      </c>
    </row>
    <row r="160" spans="1:24">
      <c r="A160" s="640">
        <f t="shared" si="21"/>
        <v>33</v>
      </c>
      <c r="B160" s="517" t="str">
        <f>IF($G$121&gt;=33,"33","")</f>
        <v/>
      </c>
      <c r="C160" s="1906" t="str">
        <f>IF($B$160="","",$C$159-$F$159)</f>
        <v/>
      </c>
      <c r="D160" s="1907"/>
      <c r="E160" s="531" t="str">
        <f t="shared" si="23"/>
        <v/>
      </c>
      <c r="F160" s="1908" t="str">
        <f t="shared" si="13"/>
        <v/>
      </c>
      <c r="G160" s="1909"/>
      <c r="H160" s="532" t="str">
        <f t="shared" si="14"/>
        <v/>
      </c>
      <c r="J160" s="517" t="str">
        <f>IF($G$121&gt;=33,"33","")</f>
        <v/>
      </c>
      <c r="K160" s="1904" t="str">
        <f t="shared" si="22"/>
        <v/>
      </c>
      <c r="L160" s="1905"/>
      <c r="M160" s="518" t="str">
        <f t="shared" si="15"/>
        <v/>
      </c>
      <c r="N160" s="1904" t="str">
        <f t="shared" si="16"/>
        <v/>
      </c>
      <c r="O160" s="1905"/>
      <c r="P160" s="519" t="str">
        <f t="shared" si="17"/>
        <v/>
      </c>
      <c r="Q160" s="515"/>
      <c r="R160" s="520" t="str">
        <f>IF($G$121&gt;=33,"33","")</f>
        <v/>
      </c>
      <c r="S160" s="1904" t="str">
        <f t="shared" si="18"/>
        <v/>
      </c>
      <c r="T160" s="1910"/>
      <c r="U160" s="518" t="str">
        <f t="shared" si="19"/>
        <v/>
      </c>
      <c r="V160" s="1911" t="str">
        <f>IF($G$121=33,$G$117,"")</f>
        <v/>
      </c>
      <c r="W160" s="1912"/>
      <c r="X160" s="519" t="str">
        <f t="shared" si="20"/>
        <v/>
      </c>
    </row>
    <row r="161" spans="1:24">
      <c r="A161" s="640">
        <f t="shared" si="21"/>
        <v>34</v>
      </c>
      <c r="B161" s="517" t="str">
        <f>IF($G$121&gt;=34,"34","")</f>
        <v/>
      </c>
      <c r="C161" s="1906" t="str">
        <f>IF($B$161="","",$C$160-$F$160)</f>
        <v/>
      </c>
      <c r="D161" s="1907"/>
      <c r="E161" s="531" t="str">
        <f t="shared" si="23"/>
        <v/>
      </c>
      <c r="F161" s="1908" t="str">
        <f t="shared" si="13"/>
        <v/>
      </c>
      <c r="G161" s="1909"/>
      <c r="H161" s="532" t="str">
        <f t="shared" si="14"/>
        <v/>
      </c>
      <c r="J161" s="517" t="str">
        <f>IF($G$121&gt;=34,"34","")</f>
        <v/>
      </c>
      <c r="K161" s="1904" t="str">
        <f t="shared" si="22"/>
        <v/>
      </c>
      <c r="L161" s="1905"/>
      <c r="M161" s="518" t="str">
        <f t="shared" si="15"/>
        <v/>
      </c>
      <c r="N161" s="1904" t="str">
        <f t="shared" si="16"/>
        <v/>
      </c>
      <c r="O161" s="1905"/>
      <c r="P161" s="519" t="str">
        <f t="shared" si="17"/>
        <v/>
      </c>
      <c r="Q161" s="515"/>
      <c r="R161" s="520" t="str">
        <f>IF($G$121&gt;=34,"34","")</f>
        <v/>
      </c>
      <c r="S161" s="1904" t="str">
        <f t="shared" si="18"/>
        <v/>
      </c>
      <c r="T161" s="1910"/>
      <c r="U161" s="518" t="str">
        <f t="shared" si="19"/>
        <v/>
      </c>
      <c r="V161" s="1911" t="str">
        <f>IF($G$121=34,$G$117,"")</f>
        <v/>
      </c>
      <c r="W161" s="1912"/>
      <c r="X161" s="519" t="str">
        <f t="shared" si="20"/>
        <v/>
      </c>
    </row>
    <row r="162" spans="1:24">
      <c r="A162" s="640">
        <f t="shared" si="21"/>
        <v>35</v>
      </c>
      <c r="B162" s="517" t="str">
        <f>IF($G$121&gt;=35,"35","")</f>
        <v/>
      </c>
      <c r="C162" s="1906" t="str">
        <f>IF($B$162="","",$C$161-$F$161)</f>
        <v/>
      </c>
      <c r="D162" s="1907"/>
      <c r="E162" s="531" t="str">
        <f t="shared" si="23"/>
        <v/>
      </c>
      <c r="F162" s="1908" t="str">
        <f t="shared" si="13"/>
        <v/>
      </c>
      <c r="G162" s="1909"/>
      <c r="H162" s="532" t="str">
        <f t="shared" si="14"/>
        <v/>
      </c>
      <c r="J162" s="517" t="str">
        <f>IF($G$121&gt;=35,"35","")</f>
        <v/>
      </c>
      <c r="K162" s="1904" t="str">
        <f t="shared" si="22"/>
        <v/>
      </c>
      <c r="L162" s="1905"/>
      <c r="M162" s="518" t="str">
        <f t="shared" si="15"/>
        <v/>
      </c>
      <c r="N162" s="1904" t="str">
        <f t="shared" si="16"/>
        <v/>
      </c>
      <c r="O162" s="1905"/>
      <c r="P162" s="519" t="str">
        <f t="shared" si="17"/>
        <v/>
      </c>
      <c r="Q162" s="515"/>
      <c r="R162" s="520" t="str">
        <f>IF($G$121&gt;=35,"35","")</f>
        <v/>
      </c>
      <c r="S162" s="1904" t="str">
        <f t="shared" si="18"/>
        <v/>
      </c>
      <c r="T162" s="1910"/>
      <c r="U162" s="518" t="str">
        <f t="shared" si="19"/>
        <v/>
      </c>
      <c r="V162" s="1911" t="str">
        <f>IF($G$121=35,$G$117,"")</f>
        <v/>
      </c>
      <c r="W162" s="1912"/>
      <c r="X162" s="519" t="str">
        <f t="shared" si="20"/>
        <v/>
      </c>
    </row>
    <row r="163" spans="1:24">
      <c r="A163" s="640">
        <f t="shared" si="21"/>
        <v>36</v>
      </c>
      <c r="B163" s="517" t="str">
        <f>IF($G$121&gt;=36,"36","")</f>
        <v/>
      </c>
      <c r="C163" s="1906" t="str">
        <f>IF($B$163="","",$C$162-$F$162)</f>
        <v/>
      </c>
      <c r="D163" s="1907"/>
      <c r="E163" s="531" t="str">
        <f t="shared" si="23"/>
        <v/>
      </c>
      <c r="F163" s="1908" t="str">
        <f t="shared" si="13"/>
        <v/>
      </c>
      <c r="G163" s="1909"/>
      <c r="H163" s="532" t="str">
        <f t="shared" si="14"/>
        <v/>
      </c>
      <c r="J163" s="517" t="str">
        <f>IF($G$121&gt;=36,"36","")</f>
        <v/>
      </c>
      <c r="K163" s="1904" t="str">
        <f t="shared" si="22"/>
        <v/>
      </c>
      <c r="L163" s="1905"/>
      <c r="M163" s="518" t="str">
        <f t="shared" si="15"/>
        <v/>
      </c>
      <c r="N163" s="1904" t="str">
        <f t="shared" si="16"/>
        <v/>
      </c>
      <c r="O163" s="1905"/>
      <c r="P163" s="519" t="str">
        <f t="shared" si="17"/>
        <v/>
      </c>
      <c r="Q163" s="515"/>
      <c r="R163" s="520" t="str">
        <f>IF($G$121&gt;=36,"36","")</f>
        <v/>
      </c>
      <c r="S163" s="1904" t="str">
        <f t="shared" si="18"/>
        <v/>
      </c>
      <c r="T163" s="1910"/>
      <c r="U163" s="518" t="str">
        <f t="shared" si="19"/>
        <v/>
      </c>
      <c r="V163" s="1911" t="str">
        <f>IF($G$121=36,$G$117,"")</f>
        <v/>
      </c>
      <c r="W163" s="1912"/>
      <c r="X163" s="519" t="str">
        <f t="shared" si="20"/>
        <v/>
      </c>
    </row>
    <row r="164" spans="1:24">
      <c r="A164" s="640">
        <f t="shared" si="21"/>
        <v>37</v>
      </c>
      <c r="B164" s="517" t="str">
        <f>IF($G$121&gt;=37,"37","")</f>
        <v/>
      </c>
      <c r="C164" s="1906" t="str">
        <f>IF($B$164="","",$C$163-$F$163)</f>
        <v/>
      </c>
      <c r="D164" s="1907"/>
      <c r="E164" s="531" t="str">
        <f t="shared" si="23"/>
        <v/>
      </c>
      <c r="F164" s="1908" t="str">
        <f t="shared" si="13"/>
        <v/>
      </c>
      <c r="G164" s="1909"/>
      <c r="H164" s="532" t="str">
        <f t="shared" si="14"/>
        <v/>
      </c>
      <c r="J164" s="517" t="str">
        <f>IF($G$121&gt;=37,"37","")</f>
        <v/>
      </c>
      <c r="K164" s="1904" t="str">
        <f t="shared" si="22"/>
        <v/>
      </c>
      <c r="L164" s="1905"/>
      <c r="M164" s="518" t="str">
        <f t="shared" si="15"/>
        <v/>
      </c>
      <c r="N164" s="1904" t="str">
        <f t="shared" si="16"/>
        <v/>
      </c>
      <c r="O164" s="1905"/>
      <c r="P164" s="519" t="str">
        <f t="shared" si="17"/>
        <v/>
      </c>
      <c r="Q164" s="515"/>
      <c r="R164" s="520" t="str">
        <f>IF($G$121&gt;=37,"37","")</f>
        <v/>
      </c>
      <c r="S164" s="1904" t="str">
        <f t="shared" si="18"/>
        <v/>
      </c>
      <c r="T164" s="1910"/>
      <c r="U164" s="518" t="str">
        <f t="shared" si="19"/>
        <v/>
      </c>
      <c r="V164" s="1911" t="str">
        <f>IF($G$121=37,$G$117,"")</f>
        <v/>
      </c>
      <c r="W164" s="1912"/>
      <c r="X164" s="519" t="str">
        <f t="shared" si="20"/>
        <v/>
      </c>
    </row>
    <row r="165" spans="1:24">
      <c r="A165" s="640">
        <f t="shared" si="21"/>
        <v>38</v>
      </c>
      <c r="B165" s="517" t="str">
        <f>IF($G$121&gt;=38,"38","")</f>
        <v/>
      </c>
      <c r="C165" s="1906" t="str">
        <f>IF($B$165="","",$C$164-$F$164)</f>
        <v/>
      </c>
      <c r="D165" s="1907"/>
      <c r="E165" s="531" t="str">
        <f t="shared" si="23"/>
        <v/>
      </c>
      <c r="F165" s="1908" t="str">
        <f t="shared" si="13"/>
        <v/>
      </c>
      <c r="G165" s="1909"/>
      <c r="H165" s="532" t="str">
        <f t="shared" si="14"/>
        <v/>
      </c>
      <c r="J165" s="517" t="str">
        <f>IF($G$121&gt;=38,"38","")</f>
        <v/>
      </c>
      <c r="K165" s="1904" t="str">
        <f t="shared" si="22"/>
        <v/>
      </c>
      <c r="L165" s="1905"/>
      <c r="M165" s="518" t="str">
        <f t="shared" si="15"/>
        <v/>
      </c>
      <c r="N165" s="1904" t="str">
        <f t="shared" si="16"/>
        <v/>
      </c>
      <c r="O165" s="1905"/>
      <c r="P165" s="519" t="str">
        <f t="shared" si="17"/>
        <v/>
      </c>
      <c r="Q165" s="515"/>
      <c r="R165" s="520" t="str">
        <f>IF($G$121&gt;=38,"38","")</f>
        <v/>
      </c>
      <c r="S165" s="1904" t="str">
        <f t="shared" si="18"/>
        <v/>
      </c>
      <c r="T165" s="1910"/>
      <c r="U165" s="518" t="str">
        <f t="shared" si="19"/>
        <v/>
      </c>
      <c r="V165" s="1911" t="str">
        <f>IF($G$121=38,$G$117,"")</f>
        <v/>
      </c>
      <c r="W165" s="1912"/>
      <c r="X165" s="519" t="str">
        <f t="shared" si="20"/>
        <v/>
      </c>
    </row>
    <row r="166" spans="1:24">
      <c r="A166" s="640">
        <f t="shared" si="21"/>
        <v>39</v>
      </c>
      <c r="B166" s="517" t="str">
        <f>IF($G$121&gt;=39,"39","")</f>
        <v/>
      </c>
      <c r="C166" s="1906" t="str">
        <f>IF($B$166="","",$C$165-$F$165)</f>
        <v/>
      </c>
      <c r="D166" s="1907"/>
      <c r="E166" s="531" t="str">
        <f t="shared" si="23"/>
        <v/>
      </c>
      <c r="F166" s="1908" t="str">
        <f t="shared" si="13"/>
        <v/>
      </c>
      <c r="G166" s="1909"/>
      <c r="H166" s="532" t="str">
        <f t="shared" si="14"/>
        <v/>
      </c>
      <c r="J166" s="517" t="str">
        <f>IF($G$121&gt;=39,"39","")</f>
        <v/>
      </c>
      <c r="K166" s="1904" t="str">
        <f t="shared" si="22"/>
        <v/>
      </c>
      <c r="L166" s="1905"/>
      <c r="M166" s="518" t="str">
        <f t="shared" si="15"/>
        <v/>
      </c>
      <c r="N166" s="1904" t="str">
        <f t="shared" si="16"/>
        <v/>
      </c>
      <c r="O166" s="1905"/>
      <c r="P166" s="519" t="str">
        <f t="shared" si="17"/>
        <v/>
      </c>
      <c r="Q166" s="515"/>
      <c r="R166" s="520" t="str">
        <f>IF($G$121&gt;=39,"39","")</f>
        <v/>
      </c>
      <c r="S166" s="1904" t="str">
        <f t="shared" si="18"/>
        <v/>
      </c>
      <c r="T166" s="1910"/>
      <c r="U166" s="518" t="str">
        <f t="shared" si="19"/>
        <v/>
      </c>
      <c r="V166" s="1911" t="str">
        <f>IF($G$121=39,$G$117,"")</f>
        <v/>
      </c>
      <c r="W166" s="1912"/>
      <c r="X166" s="519" t="str">
        <f t="shared" si="20"/>
        <v/>
      </c>
    </row>
    <row r="167" spans="1:24">
      <c r="A167" s="640">
        <f t="shared" si="21"/>
        <v>40</v>
      </c>
      <c r="B167" s="553" t="str">
        <f>IF($G$121&gt;=40,"40","")</f>
        <v/>
      </c>
      <c r="C167" s="1913" t="str">
        <f>IF($B$167="","",$C$166-$F$166)</f>
        <v/>
      </c>
      <c r="D167" s="1914"/>
      <c r="E167" s="554" t="str">
        <f t="shared" si="23"/>
        <v/>
      </c>
      <c r="F167" s="1915" t="str">
        <f t="shared" si="13"/>
        <v/>
      </c>
      <c r="G167" s="1916"/>
      <c r="H167" s="555" t="str">
        <f t="shared" si="14"/>
        <v/>
      </c>
      <c r="J167" s="553" t="str">
        <f>IF($G$121&gt;=40,"40","")</f>
        <v/>
      </c>
      <c r="K167" s="1917" t="str">
        <f t="shared" si="22"/>
        <v/>
      </c>
      <c r="L167" s="1918"/>
      <c r="M167" s="551" t="str">
        <f t="shared" si="15"/>
        <v/>
      </c>
      <c r="N167" s="1917" t="str">
        <f t="shared" si="16"/>
        <v/>
      </c>
      <c r="O167" s="1918"/>
      <c r="P167" s="552" t="str">
        <f t="shared" si="17"/>
        <v/>
      </c>
      <c r="Q167" s="515"/>
      <c r="R167" s="550" t="str">
        <f>IF($G$121&gt;=40,"40","")</f>
        <v/>
      </c>
      <c r="S167" s="1917" t="str">
        <f t="shared" si="18"/>
        <v/>
      </c>
      <c r="T167" s="1919"/>
      <c r="U167" s="551" t="str">
        <f t="shared" si="19"/>
        <v/>
      </c>
      <c r="V167" s="1920" t="str">
        <f>IF($G$121=40,$G$117,"")</f>
        <v/>
      </c>
      <c r="W167" s="1921"/>
      <c r="X167" s="552" t="str">
        <f t="shared" si="20"/>
        <v/>
      </c>
    </row>
  </sheetData>
  <sheetProtection algorithmName="SHA-512" hashValue="FGaD7Cd+A8cbs/4rrjdQLXQ/QVpxFQL41ffW1d0G/TPVPprFNFweA9zlzzFnNgNskYDBb1Cgv2TQiWJIL9IHCw==" saltValue="ezUenCDj8xydaY2Aa+ZIOw==" spinCount="100000" sheet="1" objects="1" scenarios="1"/>
  <mergeCells count="791">
    <mergeCell ref="S162:T162"/>
    <mergeCell ref="C164:D164"/>
    <mergeCell ref="N164:O164"/>
    <mergeCell ref="S164:T164"/>
    <mergeCell ref="V167:W167"/>
    <mergeCell ref="K166:L166"/>
    <mergeCell ref="N166:O166"/>
    <mergeCell ref="F164:G164"/>
    <mergeCell ref="C165:D165"/>
    <mergeCell ref="F165:G165"/>
    <mergeCell ref="K165:L165"/>
    <mergeCell ref="N165:O165"/>
    <mergeCell ref="S165:T165"/>
    <mergeCell ref="K164:L164"/>
    <mergeCell ref="S166:T166"/>
    <mergeCell ref="C166:D166"/>
    <mergeCell ref="F166:G166"/>
    <mergeCell ref="V165:W165"/>
    <mergeCell ref="V166:W166"/>
    <mergeCell ref="C167:D167"/>
    <mergeCell ref="F167:G167"/>
    <mergeCell ref="K167:L167"/>
    <mergeCell ref="N167:O167"/>
    <mergeCell ref="S167:T167"/>
    <mergeCell ref="V164:W164"/>
    <mergeCell ref="K160:L160"/>
    <mergeCell ref="N160:O160"/>
    <mergeCell ref="S160:T160"/>
    <mergeCell ref="V160:W160"/>
    <mergeCell ref="C161:D161"/>
    <mergeCell ref="F161:G161"/>
    <mergeCell ref="K161:L161"/>
    <mergeCell ref="N161:O161"/>
    <mergeCell ref="S161:T161"/>
    <mergeCell ref="V161:W161"/>
    <mergeCell ref="C160:D160"/>
    <mergeCell ref="F160:G160"/>
    <mergeCell ref="V162:W162"/>
    <mergeCell ref="C163:D163"/>
    <mergeCell ref="F163:G163"/>
    <mergeCell ref="K163:L163"/>
    <mergeCell ref="N163:O163"/>
    <mergeCell ref="S163:T163"/>
    <mergeCell ref="V163:W163"/>
    <mergeCell ref="C162:D162"/>
    <mergeCell ref="F162:G162"/>
    <mergeCell ref="K162:L162"/>
    <mergeCell ref="N162:O162"/>
    <mergeCell ref="V158:W158"/>
    <mergeCell ref="C159:D159"/>
    <mergeCell ref="F159:G159"/>
    <mergeCell ref="K159:L159"/>
    <mergeCell ref="N159:O159"/>
    <mergeCell ref="S159:T159"/>
    <mergeCell ref="V159:W159"/>
    <mergeCell ref="K158:L158"/>
    <mergeCell ref="N158:O158"/>
    <mergeCell ref="S158:T158"/>
    <mergeCell ref="C158:D158"/>
    <mergeCell ref="F158:G158"/>
    <mergeCell ref="C157:D157"/>
    <mergeCell ref="F157:G157"/>
    <mergeCell ref="K157:L157"/>
    <mergeCell ref="N157:O157"/>
    <mergeCell ref="S157:T157"/>
    <mergeCell ref="K156:L156"/>
    <mergeCell ref="N156:O156"/>
    <mergeCell ref="S156:T156"/>
    <mergeCell ref="V157:W157"/>
    <mergeCell ref="V156:W156"/>
    <mergeCell ref="C154:D154"/>
    <mergeCell ref="F154:G154"/>
    <mergeCell ref="K154:L154"/>
    <mergeCell ref="N154:O154"/>
    <mergeCell ref="S154:T154"/>
    <mergeCell ref="C156:D156"/>
    <mergeCell ref="V154:W154"/>
    <mergeCell ref="C155:D155"/>
    <mergeCell ref="F155:G155"/>
    <mergeCell ref="F156:G156"/>
    <mergeCell ref="K155:L155"/>
    <mergeCell ref="N155:O155"/>
    <mergeCell ref="S155:T155"/>
    <mergeCell ref="V155:W155"/>
    <mergeCell ref="C153:D153"/>
    <mergeCell ref="F153:G153"/>
    <mergeCell ref="K153:L153"/>
    <mergeCell ref="N153:O153"/>
    <mergeCell ref="S153:T153"/>
    <mergeCell ref="V153:W153"/>
    <mergeCell ref="C150:D150"/>
    <mergeCell ref="F150:G150"/>
    <mergeCell ref="K150:L150"/>
    <mergeCell ref="N150:O150"/>
    <mergeCell ref="S150:T150"/>
    <mergeCell ref="V150:W150"/>
    <mergeCell ref="C151:D151"/>
    <mergeCell ref="F151:G151"/>
    <mergeCell ref="K151:L151"/>
    <mergeCell ref="N151:O151"/>
    <mergeCell ref="S151:T151"/>
    <mergeCell ref="V151:W151"/>
    <mergeCell ref="C152:D152"/>
    <mergeCell ref="F152:G152"/>
    <mergeCell ref="K152:L152"/>
    <mergeCell ref="N152:O152"/>
    <mergeCell ref="S152:T152"/>
    <mergeCell ref="V152:W152"/>
    <mergeCell ref="C149:D149"/>
    <mergeCell ref="F149:G149"/>
    <mergeCell ref="K149:L149"/>
    <mergeCell ref="N149:O149"/>
    <mergeCell ref="S149:T149"/>
    <mergeCell ref="V149:W149"/>
    <mergeCell ref="C148:D148"/>
    <mergeCell ref="F148:G148"/>
    <mergeCell ref="K148:L148"/>
    <mergeCell ref="N148:O148"/>
    <mergeCell ref="S148:T148"/>
    <mergeCell ref="V148:W148"/>
    <mergeCell ref="C147:D147"/>
    <mergeCell ref="F147:G147"/>
    <mergeCell ref="K147:L147"/>
    <mergeCell ref="N147:O147"/>
    <mergeCell ref="S147:T147"/>
    <mergeCell ref="V147:W147"/>
    <mergeCell ref="C146:D146"/>
    <mergeCell ref="F146:G146"/>
    <mergeCell ref="K146:L146"/>
    <mergeCell ref="N146:O146"/>
    <mergeCell ref="S146:T146"/>
    <mergeCell ref="V146:W146"/>
    <mergeCell ref="C145:D145"/>
    <mergeCell ref="F145:G145"/>
    <mergeCell ref="K145:L145"/>
    <mergeCell ref="N145:O145"/>
    <mergeCell ref="S145:T145"/>
    <mergeCell ref="V145:W145"/>
    <mergeCell ref="C144:D144"/>
    <mergeCell ref="F144:G144"/>
    <mergeCell ref="K144:L144"/>
    <mergeCell ref="N144:O144"/>
    <mergeCell ref="S144:T144"/>
    <mergeCell ref="V144:W144"/>
    <mergeCell ref="C143:D143"/>
    <mergeCell ref="F143:G143"/>
    <mergeCell ref="K143:L143"/>
    <mergeCell ref="N143:O143"/>
    <mergeCell ref="S143:T143"/>
    <mergeCell ref="V143:W143"/>
    <mergeCell ref="C142:D142"/>
    <mergeCell ref="F142:G142"/>
    <mergeCell ref="K142:L142"/>
    <mergeCell ref="N142:O142"/>
    <mergeCell ref="S142:T142"/>
    <mergeCell ref="V142:W142"/>
    <mergeCell ref="C141:D141"/>
    <mergeCell ref="F141:G141"/>
    <mergeCell ref="K141:L141"/>
    <mergeCell ref="N141:O141"/>
    <mergeCell ref="S141:T141"/>
    <mergeCell ref="V141:W141"/>
    <mergeCell ref="C140:D140"/>
    <mergeCell ref="F140:G140"/>
    <mergeCell ref="K140:L140"/>
    <mergeCell ref="N140:O140"/>
    <mergeCell ref="S140:T140"/>
    <mergeCell ref="V140:W140"/>
    <mergeCell ref="C139:D139"/>
    <mergeCell ref="F139:G139"/>
    <mergeCell ref="K139:L139"/>
    <mergeCell ref="N139:O139"/>
    <mergeCell ref="S139:T139"/>
    <mergeCell ref="V139:W139"/>
    <mergeCell ref="C138:D138"/>
    <mergeCell ref="F138:G138"/>
    <mergeCell ref="K138:L138"/>
    <mergeCell ref="N138:O138"/>
    <mergeCell ref="S138:T138"/>
    <mergeCell ref="V138:W138"/>
    <mergeCell ref="C137:D137"/>
    <mergeCell ref="F137:G137"/>
    <mergeCell ref="K137:L137"/>
    <mergeCell ref="N137:O137"/>
    <mergeCell ref="S137:T137"/>
    <mergeCell ref="V137:W137"/>
    <mergeCell ref="C136:D136"/>
    <mergeCell ref="F136:G136"/>
    <mergeCell ref="K136:L136"/>
    <mergeCell ref="N136:O136"/>
    <mergeCell ref="S136:T136"/>
    <mergeCell ref="V136:W136"/>
    <mergeCell ref="C135:D135"/>
    <mergeCell ref="F135:G135"/>
    <mergeCell ref="K135:L135"/>
    <mergeCell ref="N135:O135"/>
    <mergeCell ref="S135:T135"/>
    <mergeCell ref="V135:W135"/>
    <mergeCell ref="C134:D134"/>
    <mergeCell ref="F134:G134"/>
    <mergeCell ref="K134:L134"/>
    <mergeCell ref="N134:O134"/>
    <mergeCell ref="S134:T134"/>
    <mergeCell ref="V134:W134"/>
    <mergeCell ref="C133:D133"/>
    <mergeCell ref="F133:G133"/>
    <mergeCell ref="K133:L133"/>
    <mergeCell ref="N133:O133"/>
    <mergeCell ref="S133:T133"/>
    <mergeCell ref="V133:W133"/>
    <mergeCell ref="C132:D132"/>
    <mergeCell ref="F132:G132"/>
    <mergeCell ref="K132:L132"/>
    <mergeCell ref="N132:O132"/>
    <mergeCell ref="S132:T132"/>
    <mergeCell ref="V132:W132"/>
    <mergeCell ref="C131:D131"/>
    <mergeCell ref="F131:G131"/>
    <mergeCell ref="K131:L131"/>
    <mergeCell ref="N131:O131"/>
    <mergeCell ref="S131:T131"/>
    <mergeCell ref="V131:W131"/>
    <mergeCell ref="C130:D130"/>
    <mergeCell ref="F130:G130"/>
    <mergeCell ref="K130:L130"/>
    <mergeCell ref="N130:O130"/>
    <mergeCell ref="S130:T130"/>
    <mergeCell ref="V130:W130"/>
    <mergeCell ref="C129:D129"/>
    <mergeCell ref="F129:G129"/>
    <mergeCell ref="K129:L129"/>
    <mergeCell ref="N129:O129"/>
    <mergeCell ref="S129:T129"/>
    <mergeCell ref="V129:W129"/>
    <mergeCell ref="C128:D128"/>
    <mergeCell ref="F128:G128"/>
    <mergeCell ref="K128:L128"/>
    <mergeCell ref="N128:O128"/>
    <mergeCell ref="S128:T128"/>
    <mergeCell ref="V128:W128"/>
    <mergeCell ref="C127:D127"/>
    <mergeCell ref="F127:G127"/>
    <mergeCell ref="K127:L127"/>
    <mergeCell ref="N127:O127"/>
    <mergeCell ref="S127:T127"/>
    <mergeCell ref="V127:W127"/>
    <mergeCell ref="D126:E126"/>
    <mergeCell ref="F126:G126"/>
    <mergeCell ref="K126:L126"/>
    <mergeCell ref="M126:N126"/>
    <mergeCell ref="T126:U126"/>
    <mergeCell ref="V126:W126"/>
    <mergeCell ref="D121:F121"/>
    <mergeCell ref="G121:H121"/>
    <mergeCell ref="V28:W28"/>
    <mergeCell ref="S53:T53"/>
    <mergeCell ref="S52:T52"/>
    <mergeCell ref="S51:T51"/>
    <mergeCell ref="S50:T50"/>
    <mergeCell ref="S49:T49"/>
    <mergeCell ref="S48:T48"/>
    <mergeCell ref="S56:T56"/>
    <mergeCell ref="S55:T55"/>
    <mergeCell ref="K59:L59"/>
    <mergeCell ref="K58:L58"/>
    <mergeCell ref="K57:L57"/>
    <mergeCell ref="K56:L56"/>
    <mergeCell ref="K55:L55"/>
    <mergeCell ref="S54:T54"/>
    <mergeCell ref="S31:T31"/>
    <mergeCell ref="S30:T30"/>
    <mergeCell ref="S29:T29"/>
    <mergeCell ref="S59:T59"/>
    <mergeCell ref="S58:T58"/>
    <mergeCell ref="S57:T57"/>
    <mergeCell ref="N59:O59"/>
    <mergeCell ref="B125:H125"/>
    <mergeCell ref="J125:P125"/>
    <mergeCell ref="R125:X125"/>
    <mergeCell ref="V42:W42"/>
    <mergeCell ref="V37:W37"/>
    <mergeCell ref="V36:W36"/>
    <mergeCell ref="G69:H69"/>
    <mergeCell ref="D69:F69"/>
    <mergeCell ref="G123:H123"/>
    <mergeCell ref="D123:F123"/>
    <mergeCell ref="V59:W59"/>
    <mergeCell ref="V58:W58"/>
    <mergeCell ref="D117:F117"/>
    <mergeCell ref="G117:H117"/>
    <mergeCell ref="D119:F119"/>
    <mergeCell ref="G119:H119"/>
    <mergeCell ref="V57:W57"/>
    <mergeCell ref="V56:W56"/>
    <mergeCell ref="N45:O45"/>
    <mergeCell ref="N44:O44"/>
    <mergeCell ref="N43:O43"/>
    <mergeCell ref="N53:O53"/>
    <mergeCell ref="S45:T45"/>
    <mergeCell ref="S44:T44"/>
    <mergeCell ref="V20:W20"/>
    <mergeCell ref="V35:W35"/>
    <mergeCell ref="V34:W34"/>
    <mergeCell ref="V33:W33"/>
    <mergeCell ref="V32:W32"/>
    <mergeCell ref="V31:W31"/>
    <mergeCell ref="V50:W50"/>
    <mergeCell ref="V49:W49"/>
    <mergeCell ref="V53:W53"/>
    <mergeCell ref="V52:W52"/>
    <mergeCell ref="V51:W51"/>
    <mergeCell ref="V43:W43"/>
    <mergeCell ref="V27:W27"/>
    <mergeCell ref="S22:T22"/>
    <mergeCell ref="S21:T21"/>
    <mergeCell ref="V55:W55"/>
    <mergeCell ref="V54:W54"/>
    <mergeCell ref="V46:W46"/>
    <mergeCell ref="V45:W45"/>
    <mergeCell ref="V44:W44"/>
    <mergeCell ref="V39:W39"/>
    <mergeCell ref="V26:W26"/>
    <mergeCell ref="V25:W25"/>
    <mergeCell ref="V30:W30"/>
    <mergeCell ref="V29:W29"/>
    <mergeCell ref="V38:W38"/>
    <mergeCell ref="S37:T37"/>
    <mergeCell ref="S36:T36"/>
    <mergeCell ref="S35:T35"/>
    <mergeCell ref="S32:T32"/>
    <mergeCell ref="S26:T26"/>
    <mergeCell ref="V41:W41"/>
    <mergeCell ref="V40:W40"/>
    <mergeCell ref="V48:W48"/>
    <mergeCell ref="V47:W47"/>
    <mergeCell ref="S47:T47"/>
    <mergeCell ref="S46:T46"/>
    <mergeCell ref="R17:X17"/>
    <mergeCell ref="J17:P17"/>
    <mergeCell ref="V18:W18"/>
    <mergeCell ref="S19:T19"/>
    <mergeCell ref="V19:W19"/>
    <mergeCell ref="S43:T43"/>
    <mergeCell ref="S42:T42"/>
    <mergeCell ref="S41:T41"/>
    <mergeCell ref="S40:T40"/>
    <mergeCell ref="S20:T20"/>
    <mergeCell ref="V24:W24"/>
    <mergeCell ref="V23:W23"/>
    <mergeCell ref="V22:W22"/>
    <mergeCell ref="V21:W21"/>
    <mergeCell ref="S24:T24"/>
    <mergeCell ref="S23:T23"/>
    <mergeCell ref="S25:T25"/>
    <mergeCell ref="S27:T27"/>
    <mergeCell ref="S28:T28"/>
    <mergeCell ref="T18:U18"/>
    <mergeCell ref="S39:T39"/>
    <mergeCell ref="S38:T38"/>
    <mergeCell ref="S34:T34"/>
    <mergeCell ref="S33:T33"/>
    <mergeCell ref="N58:O58"/>
    <mergeCell ref="N57:O57"/>
    <mergeCell ref="N56:O56"/>
    <mergeCell ref="N55:O55"/>
    <mergeCell ref="N54:O54"/>
    <mergeCell ref="C55:D55"/>
    <mergeCell ref="K54:L54"/>
    <mergeCell ref="K53:L53"/>
    <mergeCell ref="F51:G51"/>
    <mergeCell ref="C54:D54"/>
    <mergeCell ref="K52:L52"/>
    <mergeCell ref="N52:O52"/>
    <mergeCell ref="N51:O51"/>
    <mergeCell ref="F59:G59"/>
    <mergeCell ref="F52:G52"/>
    <mergeCell ref="F53:G53"/>
    <mergeCell ref="F54:G54"/>
    <mergeCell ref="F58:G58"/>
    <mergeCell ref="F57:G57"/>
    <mergeCell ref="F56:G56"/>
    <mergeCell ref="F55:G55"/>
    <mergeCell ref="C56:D56"/>
    <mergeCell ref="C57:D57"/>
    <mergeCell ref="C58:D58"/>
    <mergeCell ref="C59:D59"/>
    <mergeCell ref="C52:D52"/>
    <mergeCell ref="C53:D53"/>
    <mergeCell ref="C43:D43"/>
    <mergeCell ref="C44:D44"/>
    <mergeCell ref="C45:D45"/>
    <mergeCell ref="F49:G49"/>
    <mergeCell ref="K44:L44"/>
    <mergeCell ref="K43:L43"/>
    <mergeCell ref="C49:D49"/>
    <mergeCell ref="C50:D50"/>
    <mergeCell ref="C51:D51"/>
    <mergeCell ref="C46:D46"/>
    <mergeCell ref="C47:D47"/>
    <mergeCell ref="C48:D48"/>
    <mergeCell ref="F43:G43"/>
    <mergeCell ref="F48:G48"/>
    <mergeCell ref="F45:G45"/>
    <mergeCell ref="F46:G46"/>
    <mergeCell ref="F50:G50"/>
    <mergeCell ref="F47:G47"/>
    <mergeCell ref="K41:L41"/>
    <mergeCell ref="N38:O38"/>
    <mergeCell ref="K38:L38"/>
    <mergeCell ref="N42:O42"/>
    <mergeCell ref="N41:O41"/>
    <mergeCell ref="K39:L39"/>
    <mergeCell ref="N40:O40"/>
    <mergeCell ref="F41:G41"/>
    <mergeCell ref="F44:G44"/>
    <mergeCell ref="F42:G42"/>
    <mergeCell ref="F39:G39"/>
    <mergeCell ref="F40:G40"/>
    <mergeCell ref="N50:O50"/>
    <mergeCell ref="N49:O49"/>
    <mergeCell ref="N48:O48"/>
    <mergeCell ref="N47:O47"/>
    <mergeCell ref="K42:L42"/>
    <mergeCell ref="K51:L51"/>
    <mergeCell ref="K50:L50"/>
    <mergeCell ref="N46:O46"/>
    <mergeCell ref="K49:L49"/>
    <mergeCell ref="K48:L48"/>
    <mergeCell ref="K47:L47"/>
    <mergeCell ref="K46:L46"/>
    <mergeCell ref="K45:L45"/>
    <mergeCell ref="F35:G35"/>
    <mergeCell ref="F36:G36"/>
    <mergeCell ref="F37:G37"/>
    <mergeCell ref="F38:G38"/>
    <mergeCell ref="K35:L35"/>
    <mergeCell ref="N39:O39"/>
    <mergeCell ref="K40:L40"/>
    <mergeCell ref="C32:D32"/>
    <mergeCell ref="C33:D33"/>
    <mergeCell ref="C34:D34"/>
    <mergeCell ref="K32:L32"/>
    <mergeCell ref="N32:O32"/>
    <mergeCell ref="N33:O33"/>
    <mergeCell ref="C35:D35"/>
    <mergeCell ref="K33:L33"/>
    <mergeCell ref="K34:L34"/>
    <mergeCell ref="K37:L37"/>
    <mergeCell ref="K36:L36"/>
    <mergeCell ref="N37:O37"/>
    <mergeCell ref="N36:O36"/>
    <mergeCell ref="N35:O35"/>
    <mergeCell ref="F31:G31"/>
    <mergeCell ref="N34:O34"/>
    <mergeCell ref="F24:G24"/>
    <mergeCell ref="K22:L22"/>
    <mergeCell ref="K24:L24"/>
    <mergeCell ref="N27:O27"/>
    <mergeCell ref="N26:O26"/>
    <mergeCell ref="B17:H17"/>
    <mergeCell ref="F32:G32"/>
    <mergeCell ref="F33:G33"/>
    <mergeCell ref="F34:G34"/>
    <mergeCell ref="K30:L30"/>
    <mergeCell ref="N30:O30"/>
    <mergeCell ref="N28:O28"/>
    <mergeCell ref="K31:L31"/>
    <mergeCell ref="N31:O31"/>
    <mergeCell ref="N21:O21"/>
    <mergeCell ref="N20:O20"/>
    <mergeCell ref="K18:L18"/>
    <mergeCell ref="D18:E18"/>
    <mergeCell ref="F18:G18"/>
    <mergeCell ref="M18:N18"/>
    <mergeCell ref="C29:D29"/>
    <mergeCell ref="K19:L19"/>
    <mergeCell ref="N19:O19"/>
    <mergeCell ref="K20:L20"/>
    <mergeCell ref="K21:L21"/>
    <mergeCell ref="N22:O22"/>
    <mergeCell ref="N25:O25"/>
    <mergeCell ref="N24:O24"/>
    <mergeCell ref="N29:O29"/>
    <mergeCell ref="K23:L23"/>
    <mergeCell ref="K26:L26"/>
    <mergeCell ref="N23:O23"/>
    <mergeCell ref="K28:L28"/>
    <mergeCell ref="K27:L27"/>
    <mergeCell ref="K29:L29"/>
    <mergeCell ref="K25:L25"/>
    <mergeCell ref="C2:H2"/>
    <mergeCell ref="C4:H7"/>
    <mergeCell ref="C19:D19"/>
    <mergeCell ref="F19:G19"/>
    <mergeCell ref="G11:H11"/>
    <mergeCell ref="G13:H13"/>
    <mergeCell ref="G9:H9"/>
    <mergeCell ref="E13:F13"/>
    <mergeCell ref="F25:G25"/>
    <mergeCell ref="C20:D20"/>
    <mergeCell ref="C21:D21"/>
    <mergeCell ref="C22:D22"/>
    <mergeCell ref="C23:D23"/>
    <mergeCell ref="C24:D24"/>
    <mergeCell ref="F20:G20"/>
    <mergeCell ref="F21:G21"/>
    <mergeCell ref="F22:G22"/>
    <mergeCell ref="F23:G23"/>
    <mergeCell ref="D9:F9"/>
    <mergeCell ref="E11:F11"/>
    <mergeCell ref="G15:H15"/>
    <mergeCell ref="D15:F15"/>
    <mergeCell ref="G67:H67"/>
    <mergeCell ref="G65:H65"/>
    <mergeCell ref="G63:H63"/>
    <mergeCell ref="D63:F63"/>
    <mergeCell ref="C25:D25"/>
    <mergeCell ref="C26:D26"/>
    <mergeCell ref="F26:G26"/>
    <mergeCell ref="F27:G27"/>
    <mergeCell ref="F28:G28"/>
    <mergeCell ref="F29:G29"/>
    <mergeCell ref="F30:G30"/>
    <mergeCell ref="C38:D38"/>
    <mergeCell ref="C39:D39"/>
    <mergeCell ref="C40:D40"/>
    <mergeCell ref="C41:D41"/>
    <mergeCell ref="C42:D42"/>
    <mergeCell ref="C36:D36"/>
    <mergeCell ref="C37:D37"/>
    <mergeCell ref="C30:D30"/>
    <mergeCell ref="C31:D31"/>
    <mergeCell ref="D65:F65"/>
    <mergeCell ref="D67:F67"/>
    <mergeCell ref="C27:D27"/>
    <mergeCell ref="C28:D28"/>
    <mergeCell ref="J71:P71"/>
    <mergeCell ref="R71:X71"/>
    <mergeCell ref="D72:E72"/>
    <mergeCell ref="F72:G72"/>
    <mergeCell ref="K72:L72"/>
    <mergeCell ref="M72:N72"/>
    <mergeCell ref="T72:U72"/>
    <mergeCell ref="V72:W72"/>
    <mergeCell ref="B71:H71"/>
    <mergeCell ref="C74:D74"/>
    <mergeCell ref="F74:G74"/>
    <mergeCell ref="K74:L74"/>
    <mergeCell ref="N74:O74"/>
    <mergeCell ref="S74:T74"/>
    <mergeCell ref="V74:W74"/>
    <mergeCell ref="C73:D73"/>
    <mergeCell ref="F73:G73"/>
    <mergeCell ref="K73:L73"/>
    <mergeCell ref="N73:O73"/>
    <mergeCell ref="S73:T73"/>
    <mergeCell ref="V73:W73"/>
    <mergeCell ref="C76:D76"/>
    <mergeCell ref="F76:G76"/>
    <mergeCell ref="K76:L76"/>
    <mergeCell ref="N76:O76"/>
    <mergeCell ref="S76:T76"/>
    <mergeCell ref="V76:W76"/>
    <mergeCell ref="C75:D75"/>
    <mergeCell ref="F75:G75"/>
    <mergeCell ref="K75:L75"/>
    <mergeCell ref="N75:O75"/>
    <mergeCell ref="S75:T75"/>
    <mergeCell ref="V75:W75"/>
    <mergeCell ref="C78:D78"/>
    <mergeCell ref="F78:G78"/>
    <mergeCell ref="K78:L78"/>
    <mergeCell ref="N78:O78"/>
    <mergeCell ref="S78:T78"/>
    <mergeCell ref="V78:W78"/>
    <mergeCell ref="C77:D77"/>
    <mergeCell ref="F77:G77"/>
    <mergeCell ref="K77:L77"/>
    <mergeCell ref="N77:O77"/>
    <mergeCell ref="S77:T77"/>
    <mergeCell ref="V77:W77"/>
    <mergeCell ref="C80:D80"/>
    <mergeCell ref="F80:G80"/>
    <mergeCell ref="K80:L80"/>
    <mergeCell ref="N80:O80"/>
    <mergeCell ref="S80:T80"/>
    <mergeCell ref="V80:W80"/>
    <mergeCell ref="C79:D79"/>
    <mergeCell ref="F79:G79"/>
    <mergeCell ref="K79:L79"/>
    <mergeCell ref="N79:O79"/>
    <mergeCell ref="S79:T79"/>
    <mergeCell ref="V79:W79"/>
    <mergeCell ref="C82:D82"/>
    <mergeCell ref="F82:G82"/>
    <mergeCell ref="K82:L82"/>
    <mergeCell ref="N82:O82"/>
    <mergeCell ref="S82:T82"/>
    <mergeCell ref="V82:W82"/>
    <mergeCell ref="C81:D81"/>
    <mergeCell ref="F81:G81"/>
    <mergeCell ref="K81:L81"/>
    <mergeCell ref="N81:O81"/>
    <mergeCell ref="S81:T81"/>
    <mergeCell ref="V81:W81"/>
    <mergeCell ref="C84:D84"/>
    <mergeCell ref="F84:G84"/>
    <mergeCell ref="K84:L84"/>
    <mergeCell ref="N84:O84"/>
    <mergeCell ref="S84:T84"/>
    <mergeCell ref="V84:W84"/>
    <mergeCell ref="C83:D83"/>
    <mergeCell ref="F83:G83"/>
    <mergeCell ref="K83:L83"/>
    <mergeCell ref="N83:O83"/>
    <mergeCell ref="S83:T83"/>
    <mergeCell ref="V83:W83"/>
    <mergeCell ref="C86:D86"/>
    <mergeCell ref="F86:G86"/>
    <mergeCell ref="K86:L86"/>
    <mergeCell ref="N86:O86"/>
    <mergeCell ref="S86:T86"/>
    <mergeCell ref="V86:W86"/>
    <mergeCell ref="C85:D85"/>
    <mergeCell ref="F85:G85"/>
    <mergeCell ref="K85:L85"/>
    <mergeCell ref="N85:O85"/>
    <mergeCell ref="S85:T85"/>
    <mergeCell ref="V85:W85"/>
    <mergeCell ref="C88:D88"/>
    <mergeCell ref="F88:G88"/>
    <mergeCell ref="K88:L88"/>
    <mergeCell ref="N88:O88"/>
    <mergeCell ref="S88:T88"/>
    <mergeCell ref="V88:W88"/>
    <mergeCell ref="C87:D87"/>
    <mergeCell ref="F87:G87"/>
    <mergeCell ref="K87:L87"/>
    <mergeCell ref="N87:O87"/>
    <mergeCell ref="S87:T87"/>
    <mergeCell ref="V87:W87"/>
    <mergeCell ref="C90:D90"/>
    <mergeCell ref="F90:G90"/>
    <mergeCell ref="K90:L90"/>
    <mergeCell ref="N90:O90"/>
    <mergeCell ref="S90:T90"/>
    <mergeCell ref="V90:W90"/>
    <mergeCell ref="C89:D89"/>
    <mergeCell ref="F89:G89"/>
    <mergeCell ref="K89:L89"/>
    <mergeCell ref="N89:O89"/>
    <mergeCell ref="S89:T89"/>
    <mergeCell ref="V89:W89"/>
    <mergeCell ref="C92:D92"/>
    <mergeCell ref="F92:G92"/>
    <mergeCell ref="K92:L92"/>
    <mergeCell ref="N92:O92"/>
    <mergeCell ref="S92:T92"/>
    <mergeCell ref="V92:W92"/>
    <mergeCell ref="C91:D91"/>
    <mergeCell ref="F91:G91"/>
    <mergeCell ref="K91:L91"/>
    <mergeCell ref="N91:O91"/>
    <mergeCell ref="S91:T91"/>
    <mergeCell ref="V91:W91"/>
    <mergeCell ref="C94:D94"/>
    <mergeCell ref="F94:G94"/>
    <mergeCell ref="K94:L94"/>
    <mergeCell ref="N94:O94"/>
    <mergeCell ref="S94:T94"/>
    <mergeCell ref="V94:W94"/>
    <mergeCell ref="C93:D93"/>
    <mergeCell ref="F93:G93"/>
    <mergeCell ref="K93:L93"/>
    <mergeCell ref="N93:O93"/>
    <mergeCell ref="S93:T93"/>
    <mergeCell ref="V93:W93"/>
    <mergeCell ref="C96:D96"/>
    <mergeCell ref="F96:G96"/>
    <mergeCell ref="K96:L96"/>
    <mergeCell ref="N96:O96"/>
    <mergeCell ref="S96:T96"/>
    <mergeCell ref="V96:W96"/>
    <mergeCell ref="C95:D95"/>
    <mergeCell ref="F95:G95"/>
    <mergeCell ref="K95:L95"/>
    <mergeCell ref="N95:O95"/>
    <mergeCell ref="S95:T95"/>
    <mergeCell ref="V95:W95"/>
    <mergeCell ref="C98:D98"/>
    <mergeCell ref="F98:G98"/>
    <mergeCell ref="K98:L98"/>
    <mergeCell ref="N98:O98"/>
    <mergeCell ref="S98:T98"/>
    <mergeCell ref="V98:W98"/>
    <mergeCell ref="C97:D97"/>
    <mergeCell ref="F97:G97"/>
    <mergeCell ref="K97:L97"/>
    <mergeCell ref="N97:O97"/>
    <mergeCell ref="S97:T97"/>
    <mergeCell ref="V97:W97"/>
    <mergeCell ref="C100:D100"/>
    <mergeCell ref="F100:G100"/>
    <mergeCell ref="K100:L100"/>
    <mergeCell ref="N100:O100"/>
    <mergeCell ref="S100:T100"/>
    <mergeCell ref="V100:W100"/>
    <mergeCell ref="C99:D99"/>
    <mergeCell ref="F99:G99"/>
    <mergeCell ref="K99:L99"/>
    <mergeCell ref="N99:O99"/>
    <mergeCell ref="S99:T99"/>
    <mergeCell ref="V99:W99"/>
    <mergeCell ref="V105:W105"/>
    <mergeCell ref="C102:D102"/>
    <mergeCell ref="F102:G102"/>
    <mergeCell ref="K102:L102"/>
    <mergeCell ref="N102:O102"/>
    <mergeCell ref="S102:T102"/>
    <mergeCell ref="V102:W102"/>
    <mergeCell ref="C101:D101"/>
    <mergeCell ref="F101:G101"/>
    <mergeCell ref="K101:L101"/>
    <mergeCell ref="N101:O101"/>
    <mergeCell ref="S101:T101"/>
    <mergeCell ref="V101:W101"/>
    <mergeCell ref="K107:L107"/>
    <mergeCell ref="C104:D104"/>
    <mergeCell ref="F104:G104"/>
    <mergeCell ref="K104:L104"/>
    <mergeCell ref="N104:O104"/>
    <mergeCell ref="S104:T104"/>
    <mergeCell ref="V104:W104"/>
    <mergeCell ref="C103:D103"/>
    <mergeCell ref="F103:G103"/>
    <mergeCell ref="K103:L103"/>
    <mergeCell ref="N103:O103"/>
    <mergeCell ref="S103:T103"/>
    <mergeCell ref="V103:W103"/>
    <mergeCell ref="C106:D106"/>
    <mergeCell ref="F106:G106"/>
    <mergeCell ref="K106:L106"/>
    <mergeCell ref="N106:O106"/>
    <mergeCell ref="S106:T106"/>
    <mergeCell ref="V106:W106"/>
    <mergeCell ref="C105:D105"/>
    <mergeCell ref="F105:G105"/>
    <mergeCell ref="K105:L105"/>
    <mergeCell ref="N105:O105"/>
    <mergeCell ref="S105:T105"/>
    <mergeCell ref="C113:D113"/>
    <mergeCell ref="F113:G113"/>
    <mergeCell ref="K113:L113"/>
    <mergeCell ref="N113:O113"/>
    <mergeCell ref="S113:T113"/>
    <mergeCell ref="V113:W113"/>
    <mergeCell ref="S111:T111"/>
    <mergeCell ref="V111:W111"/>
    <mergeCell ref="C112:D112"/>
    <mergeCell ref="F112:G112"/>
    <mergeCell ref="K112:L112"/>
    <mergeCell ref="N112:O112"/>
    <mergeCell ref="S112:T112"/>
    <mergeCell ref="V112:W112"/>
    <mergeCell ref="C111:D111"/>
    <mergeCell ref="F111:G111"/>
    <mergeCell ref="K111:L111"/>
    <mergeCell ref="N107:O107"/>
    <mergeCell ref="N111:O111"/>
    <mergeCell ref="C109:D109"/>
    <mergeCell ref="F109:G109"/>
    <mergeCell ref="K109:L109"/>
    <mergeCell ref="N109:O109"/>
    <mergeCell ref="S109:T109"/>
    <mergeCell ref="V109:W109"/>
    <mergeCell ref="C108:D108"/>
    <mergeCell ref="F108:G108"/>
    <mergeCell ref="K108:L108"/>
    <mergeCell ref="N108:O108"/>
    <mergeCell ref="S108:T108"/>
    <mergeCell ref="V108:W108"/>
    <mergeCell ref="C110:D110"/>
    <mergeCell ref="F110:G110"/>
    <mergeCell ref="K110:L110"/>
    <mergeCell ref="N110:O110"/>
    <mergeCell ref="S107:T107"/>
    <mergeCell ref="S110:T110"/>
    <mergeCell ref="V110:W110"/>
    <mergeCell ref="V107:W107"/>
    <mergeCell ref="C107:D107"/>
    <mergeCell ref="F107:G107"/>
  </mergeCells>
  <conditionalFormatting sqref="B20:H59 J20:P59 R20:X59 J74:P113 R74:X113 B74:H113 J128:P167 R128:X167 B128:H167">
    <cfRule type="containsBlanks" dxfId="26" priority="10">
      <formula>LEN(TRIM(B20))=0</formula>
    </cfRule>
  </conditionalFormatting>
  <pageMargins left="0.7" right="0.7" top="0.75" bottom="0.75" header="0.3" footer="0.3"/>
  <pageSetup paperSize="9" scale="26" orientation="portrait" r:id="rId1"/>
  <ignoredErrors>
    <ignoredError sqref="N74" evalError="1"/>
    <ignoredError sqref="A74:A113 A128:A167"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3"/>
  </sheetPr>
  <dimension ref="A1:AW429"/>
  <sheetViews>
    <sheetView view="pageBreakPreview" topLeftCell="B1" zoomScale="70" zoomScaleNormal="90" zoomScaleSheetLayoutView="70" workbookViewId="0">
      <selection activeCell="V114" sqref="V114"/>
    </sheetView>
  </sheetViews>
  <sheetFormatPr baseColWidth="10" defaultRowHeight="16.5"/>
  <cols>
    <col min="1" max="1" width="45.140625" style="133" hidden="1" customWidth="1"/>
    <col min="2" max="2" width="5.7109375" style="133" customWidth="1"/>
    <col min="3" max="3" width="20" style="151" bestFit="1" customWidth="1"/>
    <col min="4" max="4" width="11.5703125" style="151" bestFit="1" customWidth="1"/>
    <col min="5" max="5" width="13.7109375" style="151" bestFit="1" customWidth="1"/>
    <col min="6" max="6" width="3.28515625" style="151" customWidth="1"/>
    <col min="7" max="7" width="13.7109375" style="151" bestFit="1" customWidth="1"/>
    <col min="8" max="8" width="3.28515625" style="151" customWidth="1"/>
    <col min="9" max="9" width="13.7109375" style="151" customWidth="1"/>
    <col min="10" max="10" width="3.28515625" style="151" customWidth="1"/>
    <col min="11" max="11" width="13.7109375" style="151" customWidth="1"/>
    <col min="12" max="12" width="3.28515625" style="151" customWidth="1"/>
    <col min="13" max="13" width="13.7109375" style="151" customWidth="1"/>
    <col min="14" max="14" width="3.28515625" style="151" customWidth="1"/>
    <col min="15" max="15" width="13.7109375" style="151" customWidth="1"/>
    <col min="16" max="16" width="3.28515625" style="151" customWidth="1"/>
    <col min="17" max="17" width="5.7109375" style="133" customWidth="1"/>
    <col min="18" max="49" width="11.42578125" style="133"/>
    <col min="50" max="16384" width="11.42578125" style="151"/>
  </cols>
  <sheetData>
    <row r="1" spans="3:16" ht="17.25" thickBot="1">
      <c r="C1" s="133"/>
      <c r="D1" s="133"/>
      <c r="E1" s="133"/>
      <c r="F1" s="133"/>
      <c r="G1" s="133"/>
      <c r="H1" s="133"/>
      <c r="I1" s="133"/>
      <c r="J1" s="133"/>
      <c r="K1" s="133"/>
      <c r="L1" s="133"/>
      <c r="M1" s="133"/>
      <c r="N1" s="133"/>
      <c r="O1" s="133"/>
      <c r="P1" s="133"/>
    </row>
    <row r="2" spans="3:16">
      <c r="C2" s="534" t="s">
        <v>146</v>
      </c>
      <c r="D2" s="1462" t="s">
        <v>382</v>
      </c>
      <c r="E2" s="1463"/>
      <c r="F2" s="1463"/>
      <c r="G2" s="1463"/>
      <c r="H2" s="1463"/>
      <c r="I2" s="1463"/>
      <c r="J2" s="1463"/>
      <c r="K2" s="1463"/>
      <c r="L2" s="1463"/>
      <c r="M2" s="1463"/>
      <c r="N2" s="1463"/>
      <c r="O2" s="1463"/>
      <c r="P2" s="1464"/>
    </row>
    <row r="3" spans="3:16">
      <c r="C3" s="535" t="s">
        <v>206</v>
      </c>
      <c r="D3" s="1471" t="s">
        <v>198</v>
      </c>
      <c r="E3" s="1472"/>
      <c r="F3" s="1472"/>
      <c r="G3" s="1472"/>
      <c r="H3" s="1472"/>
      <c r="I3" s="1472"/>
      <c r="J3" s="1472"/>
      <c r="K3" s="1472"/>
      <c r="L3" s="1472"/>
      <c r="M3" s="1472"/>
      <c r="N3" s="1472"/>
      <c r="O3" s="1472"/>
      <c r="P3" s="1473"/>
    </row>
    <row r="4" spans="3:16" ht="24.95" customHeight="1">
      <c r="C4" s="536" t="s">
        <v>147</v>
      </c>
      <c r="D4" s="1517" t="s">
        <v>380</v>
      </c>
      <c r="E4" s="1518"/>
      <c r="F4" s="1518"/>
      <c r="G4" s="1518"/>
      <c r="H4" s="1518"/>
      <c r="I4" s="1518"/>
      <c r="J4" s="1518"/>
      <c r="K4" s="1518"/>
      <c r="L4" s="1518"/>
      <c r="M4" s="1518"/>
      <c r="N4" s="1518"/>
      <c r="O4" s="1518"/>
      <c r="P4" s="1519"/>
    </row>
    <row r="5" spans="3:16">
      <c r="C5" s="137" t="s">
        <v>220</v>
      </c>
      <c r="D5" s="1989" t="s">
        <v>222</v>
      </c>
      <c r="E5" s="1989"/>
      <c r="F5" s="1989"/>
      <c r="G5" s="1989"/>
      <c r="H5" s="1989"/>
      <c r="I5" s="1989"/>
      <c r="J5" s="1989"/>
      <c r="K5" s="1989"/>
      <c r="L5" s="1989"/>
      <c r="M5" s="1989"/>
      <c r="N5" s="1989"/>
      <c r="O5" s="1989"/>
      <c r="P5" s="1990"/>
    </row>
    <row r="6" spans="3:16" ht="17.25" customHeight="1">
      <c r="C6" s="138"/>
      <c r="D6" s="139"/>
      <c r="E6" s="139"/>
      <c r="F6" s="139"/>
      <c r="G6" s="139"/>
      <c r="H6" s="139"/>
      <c r="I6" s="139"/>
      <c r="J6" s="139"/>
      <c r="K6" s="139"/>
      <c r="L6" s="139"/>
      <c r="M6" s="139"/>
      <c r="N6" s="139"/>
      <c r="O6" s="537"/>
      <c r="P6" s="538"/>
    </row>
    <row r="7" spans="3:16">
      <c r="C7" s="141"/>
      <c r="D7" s="142"/>
      <c r="E7" s="1458">
        <f>'Bilan financier'!$E$17</f>
        <v>2019</v>
      </c>
      <c r="F7" s="1565"/>
      <c r="G7" s="1458">
        <f>'Bilan financier'!$E$17+1</f>
        <v>2020</v>
      </c>
      <c r="H7" s="1565"/>
      <c r="I7" s="1458">
        <f>'Bilan financier'!$E$17+2</f>
        <v>2021</v>
      </c>
      <c r="J7" s="1565"/>
      <c r="K7" s="1458">
        <f>'Bilan financier'!$E$17+3</f>
        <v>2022</v>
      </c>
      <c r="L7" s="1565"/>
      <c r="M7" s="1458">
        <f>'Bilan financier'!$E$17+4</f>
        <v>2023</v>
      </c>
      <c r="N7" s="1565"/>
      <c r="O7" s="1458">
        <f>'Bilan financier'!$E$17+5</f>
        <v>2024</v>
      </c>
      <c r="P7" s="1972"/>
    </row>
    <row r="8" spans="3:16" ht="5.0999999999999996" customHeight="1">
      <c r="C8" s="141"/>
      <c r="D8" s="876"/>
      <c r="E8" s="876"/>
      <c r="F8" s="876"/>
      <c r="G8" s="876"/>
      <c r="H8" s="876"/>
      <c r="I8" s="876"/>
      <c r="J8" s="876"/>
      <c r="K8" s="876"/>
      <c r="L8" s="876"/>
      <c r="M8" s="876"/>
      <c r="N8" s="876"/>
      <c r="O8" s="143"/>
      <c r="P8" s="144"/>
    </row>
    <row r="9" spans="3:16" ht="27.95" customHeight="1">
      <c r="C9" s="782" t="s">
        <v>783</v>
      </c>
      <c r="D9" s="588"/>
      <c r="E9" s="2005" t="str">
        <f>'Plan pluriannuel de financement'!$C$50</f>
        <v/>
      </c>
      <c r="F9" s="2006"/>
      <c r="G9" s="1512" t="e">
        <f>'Plan pluriannuel de financement'!$C$51</f>
        <v>#VALUE!</v>
      </c>
      <c r="H9" s="1513"/>
      <c r="I9" s="1512" t="e">
        <f>'Plan pluriannuel de financement'!$D$51</f>
        <v>#VALUE!</v>
      </c>
      <c r="J9" s="1513"/>
      <c r="K9" s="1512" t="e">
        <f>'Plan pluriannuel de financement'!$F$51</f>
        <v>#VALUE!</v>
      </c>
      <c r="L9" s="1513"/>
      <c r="M9" s="1512" t="e">
        <f>'Plan pluriannuel de financement'!$H$51</f>
        <v>#VALUE!</v>
      </c>
      <c r="N9" s="1513"/>
      <c r="O9" s="1512" t="e">
        <f>'Plan pluriannuel de financement'!$J$51</f>
        <v>#VALUE!</v>
      </c>
      <c r="P9" s="2000"/>
    </row>
    <row r="10" spans="3:16" ht="17.25" thickBot="1">
      <c r="C10" s="147"/>
      <c r="D10" s="148"/>
      <c r="E10" s="148"/>
      <c r="F10" s="148"/>
      <c r="G10" s="148"/>
      <c r="H10" s="148"/>
      <c r="I10" s="148"/>
      <c r="J10" s="148"/>
      <c r="K10" s="148"/>
      <c r="L10" s="148"/>
      <c r="M10" s="148"/>
      <c r="N10" s="148"/>
      <c r="O10" s="149"/>
      <c r="P10" s="150"/>
    </row>
    <row r="11" spans="3:16" ht="20.100000000000001" customHeight="1">
      <c r="C11" s="159"/>
      <c r="D11" s="160"/>
      <c r="E11" s="160"/>
      <c r="F11" s="160"/>
      <c r="G11" s="160"/>
      <c r="H11" s="160"/>
      <c r="I11" s="160"/>
      <c r="J11" s="160"/>
      <c r="K11" s="160"/>
      <c r="L11" s="160"/>
      <c r="M11" s="160"/>
      <c r="N11" s="160"/>
      <c r="O11" s="887"/>
      <c r="P11" s="145"/>
    </row>
    <row r="12" spans="3:16" ht="20.100000000000001" customHeight="1" thickBot="1">
      <c r="C12" s="133"/>
      <c r="D12" s="133"/>
      <c r="E12" s="133"/>
      <c r="F12" s="133"/>
      <c r="G12" s="133"/>
      <c r="H12" s="133"/>
      <c r="I12" s="133"/>
      <c r="J12" s="133"/>
      <c r="K12" s="133"/>
      <c r="L12" s="133"/>
      <c r="M12" s="133"/>
      <c r="N12" s="133"/>
      <c r="O12" s="133"/>
      <c r="P12" s="133"/>
    </row>
    <row r="13" spans="3:16">
      <c r="C13" s="534" t="s">
        <v>146</v>
      </c>
      <c r="D13" s="1462" t="s">
        <v>382</v>
      </c>
      <c r="E13" s="1463"/>
      <c r="F13" s="1463"/>
      <c r="G13" s="1463"/>
      <c r="H13" s="1463"/>
      <c r="I13" s="1463"/>
      <c r="J13" s="1463"/>
      <c r="K13" s="1463"/>
      <c r="L13" s="1463"/>
      <c r="M13" s="1463"/>
      <c r="N13" s="1463"/>
      <c r="O13" s="1463"/>
      <c r="P13" s="1464"/>
    </row>
    <row r="14" spans="3:16">
      <c r="C14" s="535" t="s">
        <v>206</v>
      </c>
      <c r="D14" s="1471" t="s">
        <v>198</v>
      </c>
      <c r="E14" s="1472"/>
      <c r="F14" s="1472"/>
      <c r="G14" s="1472"/>
      <c r="H14" s="1472"/>
      <c r="I14" s="1472"/>
      <c r="J14" s="1472"/>
      <c r="K14" s="1472"/>
      <c r="L14" s="1472"/>
      <c r="M14" s="1472"/>
      <c r="N14" s="1472"/>
      <c r="O14" s="1472"/>
      <c r="P14" s="1473"/>
    </row>
    <row r="15" spans="3:16" ht="24.95" customHeight="1">
      <c r="C15" s="536" t="s">
        <v>147</v>
      </c>
      <c r="D15" s="1517" t="s">
        <v>381</v>
      </c>
      <c r="E15" s="1518"/>
      <c r="F15" s="1518"/>
      <c r="G15" s="1518"/>
      <c r="H15" s="1518"/>
      <c r="I15" s="1518"/>
      <c r="J15" s="1518"/>
      <c r="K15" s="1518"/>
      <c r="L15" s="1518"/>
      <c r="M15" s="1518"/>
      <c r="N15" s="1518"/>
      <c r="O15" s="1518"/>
      <c r="P15" s="1519"/>
    </row>
    <row r="16" spans="3:16">
      <c r="C16" s="137" t="s">
        <v>220</v>
      </c>
      <c r="D16" s="1989" t="s">
        <v>222</v>
      </c>
      <c r="E16" s="1989"/>
      <c r="F16" s="1989"/>
      <c r="G16" s="1989"/>
      <c r="H16" s="1989"/>
      <c r="I16" s="1989"/>
      <c r="J16" s="1989"/>
      <c r="K16" s="1989"/>
      <c r="L16" s="1989"/>
      <c r="M16" s="1989"/>
      <c r="N16" s="1989"/>
      <c r="O16" s="1989"/>
      <c r="P16" s="1990"/>
    </row>
    <row r="17" spans="1:16" ht="17.25" customHeight="1">
      <c r="C17" s="138"/>
      <c r="D17" s="139"/>
      <c r="E17" s="139"/>
      <c r="F17" s="139"/>
      <c r="G17" s="139"/>
      <c r="H17" s="139"/>
      <c r="I17" s="139"/>
      <c r="J17" s="139"/>
      <c r="K17" s="139"/>
      <c r="L17" s="139"/>
      <c r="M17" s="139"/>
      <c r="N17" s="139"/>
      <c r="O17" s="139"/>
      <c r="P17" s="140"/>
    </row>
    <row r="18" spans="1:16">
      <c r="C18" s="141"/>
      <c r="D18" s="142"/>
      <c r="E18" s="1970">
        <f>'Bilan financier'!$E$17</f>
        <v>2019</v>
      </c>
      <c r="F18" s="1565"/>
      <c r="G18" s="1970">
        <f>'Bilan financier'!$E$17+1</f>
        <v>2020</v>
      </c>
      <c r="H18" s="1565"/>
      <c r="I18" s="1971">
        <f>'Bilan financier'!$E$17+2</f>
        <v>2021</v>
      </c>
      <c r="J18" s="1971"/>
      <c r="K18" s="1970">
        <f>'Bilan financier'!$E$17+3</f>
        <v>2022</v>
      </c>
      <c r="L18" s="1565"/>
      <c r="M18" s="1971">
        <f>'Bilan financier'!$E$17+4</f>
        <v>2023</v>
      </c>
      <c r="N18" s="1971"/>
      <c r="O18" s="1970">
        <f>'Bilan financier'!$E$17+5</f>
        <v>2024</v>
      </c>
      <c r="P18" s="1972"/>
    </row>
    <row r="19" spans="1:16" ht="5.0999999999999996" customHeight="1">
      <c r="C19" s="141"/>
      <c r="D19" s="876"/>
      <c r="E19" s="876"/>
      <c r="F19" s="876"/>
      <c r="G19" s="876"/>
      <c r="H19" s="876"/>
      <c r="I19" s="876"/>
      <c r="J19" s="876"/>
      <c r="K19" s="876"/>
      <c r="L19" s="876"/>
      <c r="M19" s="876"/>
      <c r="N19" s="876"/>
      <c r="O19" s="143"/>
      <c r="P19" s="144"/>
    </row>
    <row r="20" spans="1:16" ht="27.95" customHeight="1">
      <c r="C20" s="782" t="s">
        <v>782</v>
      </c>
      <c r="D20" s="588"/>
      <c r="E20" s="1512" t="str">
        <f>'Plan pluriannuel de financement'!$C$72</f>
        <v/>
      </c>
      <c r="F20" s="1513"/>
      <c r="G20" s="1512" t="e">
        <f>'Plan pluriannuel de financement'!$C$73</f>
        <v>#VALUE!</v>
      </c>
      <c r="H20" s="1513"/>
      <c r="I20" s="1512" t="e">
        <f>'Plan pluriannuel de financement'!$D$73</f>
        <v>#VALUE!</v>
      </c>
      <c r="J20" s="1513"/>
      <c r="K20" s="1512" t="e">
        <f>'Plan pluriannuel de financement'!$F$73</f>
        <v>#VALUE!</v>
      </c>
      <c r="L20" s="1513"/>
      <c r="M20" s="1512" t="e">
        <f>'Plan pluriannuel de financement'!$H$73</f>
        <v>#VALUE!</v>
      </c>
      <c r="N20" s="1513"/>
      <c r="O20" s="1512" t="e">
        <f>'Plan pluriannuel de financement'!$J$73</f>
        <v>#VALUE!</v>
      </c>
      <c r="P20" s="2000"/>
    </row>
    <row r="21" spans="1:16" ht="17.25" thickBot="1">
      <c r="C21" s="147"/>
      <c r="D21" s="148"/>
      <c r="E21" s="148"/>
      <c r="F21" s="148"/>
      <c r="G21" s="148"/>
      <c r="H21" s="148"/>
      <c r="I21" s="148"/>
      <c r="J21" s="148"/>
      <c r="K21" s="148"/>
      <c r="L21" s="148"/>
      <c r="M21" s="148"/>
      <c r="N21" s="148"/>
      <c r="O21" s="149"/>
      <c r="P21" s="150"/>
    </row>
    <row r="22" spans="1:16" ht="20.100000000000001" customHeight="1">
      <c r="C22" s="159"/>
      <c r="D22" s="160"/>
      <c r="E22" s="160"/>
      <c r="F22" s="160"/>
      <c r="G22" s="160"/>
      <c r="H22" s="160"/>
      <c r="I22" s="160"/>
      <c r="J22" s="160"/>
      <c r="K22" s="160"/>
      <c r="L22" s="160"/>
      <c r="M22" s="160"/>
      <c r="N22" s="160"/>
      <c r="O22" s="887"/>
      <c r="P22" s="145"/>
    </row>
    <row r="23" spans="1:16" ht="20.100000000000001" customHeight="1" thickBot="1">
      <c r="A23" s="133" t="s">
        <v>253</v>
      </c>
      <c r="D23" s="133"/>
      <c r="E23" s="133"/>
      <c r="F23" s="133"/>
      <c r="G23" s="133"/>
      <c r="H23" s="133"/>
      <c r="I23" s="133"/>
      <c r="J23" s="133"/>
      <c r="K23" s="133"/>
      <c r="L23" s="133"/>
      <c r="M23" s="133"/>
      <c r="N23" s="133"/>
      <c r="O23" s="133"/>
      <c r="P23" s="133"/>
    </row>
    <row r="24" spans="1:16">
      <c r="C24" s="534" t="s">
        <v>146</v>
      </c>
      <c r="D24" s="1462" t="s">
        <v>382</v>
      </c>
      <c r="E24" s="1463"/>
      <c r="F24" s="1463"/>
      <c r="G24" s="1463"/>
      <c r="H24" s="1463"/>
      <c r="I24" s="1463"/>
      <c r="J24" s="1463"/>
      <c r="K24" s="1463"/>
      <c r="L24" s="1463"/>
      <c r="M24" s="1463"/>
      <c r="N24" s="1463"/>
      <c r="O24" s="1463"/>
      <c r="P24" s="1464"/>
    </row>
    <row r="25" spans="1:16">
      <c r="C25" s="535" t="s">
        <v>206</v>
      </c>
      <c r="D25" s="1471" t="s">
        <v>198</v>
      </c>
      <c r="E25" s="1472"/>
      <c r="F25" s="1472"/>
      <c r="G25" s="1472"/>
      <c r="H25" s="1472"/>
      <c r="I25" s="1472"/>
      <c r="J25" s="1472"/>
      <c r="K25" s="1472"/>
      <c r="L25" s="1472"/>
      <c r="M25" s="1472"/>
      <c r="N25" s="1472"/>
      <c r="O25" s="1472"/>
      <c r="P25" s="1473"/>
    </row>
    <row r="26" spans="1:16" ht="24.95" customHeight="1">
      <c r="C26" s="536" t="s">
        <v>147</v>
      </c>
      <c r="D26" s="1517" t="s">
        <v>389</v>
      </c>
      <c r="E26" s="1518"/>
      <c r="F26" s="1518"/>
      <c r="G26" s="1518"/>
      <c r="H26" s="1518"/>
      <c r="I26" s="1518"/>
      <c r="J26" s="1518"/>
      <c r="K26" s="1518"/>
      <c r="L26" s="1518"/>
      <c r="M26" s="1518"/>
      <c r="N26" s="1518"/>
      <c r="O26" s="1518"/>
      <c r="P26" s="1519"/>
    </row>
    <row r="27" spans="1:16">
      <c r="C27" s="137" t="s">
        <v>220</v>
      </c>
      <c r="D27" s="1989" t="s">
        <v>222</v>
      </c>
      <c r="E27" s="1989"/>
      <c r="F27" s="1989"/>
      <c r="G27" s="1989"/>
      <c r="H27" s="1989"/>
      <c r="I27" s="1989"/>
      <c r="J27" s="1989"/>
      <c r="K27" s="1989"/>
      <c r="L27" s="1989"/>
      <c r="M27" s="1989"/>
      <c r="N27" s="1989"/>
      <c r="O27" s="1989"/>
      <c r="P27" s="1990"/>
    </row>
    <row r="28" spans="1:16" ht="17.25" customHeight="1">
      <c r="C28" s="138"/>
      <c r="D28" s="139"/>
      <c r="E28" s="139"/>
      <c r="F28" s="139"/>
      <c r="G28" s="139"/>
      <c r="H28" s="139"/>
      <c r="I28" s="139"/>
      <c r="J28" s="139"/>
      <c r="K28" s="139"/>
      <c r="L28" s="139"/>
      <c r="M28" s="139"/>
      <c r="N28" s="139"/>
      <c r="O28" s="139"/>
      <c r="P28" s="140"/>
    </row>
    <row r="29" spans="1:16">
      <c r="C29" s="141"/>
      <c r="D29" s="142"/>
      <c r="E29" s="1970">
        <f>'Bilan financier'!$E$17</f>
        <v>2019</v>
      </c>
      <c r="F29" s="1565"/>
      <c r="G29" s="1970">
        <f>'Bilan financier'!$E$17+1</f>
        <v>2020</v>
      </c>
      <c r="H29" s="1565"/>
      <c r="I29" s="1971">
        <f>'Bilan financier'!$E$17+2</f>
        <v>2021</v>
      </c>
      <c r="J29" s="1971"/>
      <c r="K29" s="1970">
        <f>'Bilan financier'!$E$17+3</f>
        <v>2022</v>
      </c>
      <c r="L29" s="1565"/>
      <c r="M29" s="1971">
        <f>'Bilan financier'!$E$17+4</f>
        <v>2023</v>
      </c>
      <c r="N29" s="1971"/>
      <c r="O29" s="1970">
        <f>'Bilan financier'!$E$17+5</f>
        <v>2024</v>
      </c>
      <c r="P29" s="1972"/>
    </row>
    <row r="30" spans="1:16" ht="5.0999999999999996" customHeight="1">
      <c r="C30" s="141"/>
      <c r="D30" s="876"/>
      <c r="E30" s="876"/>
      <c r="F30" s="876"/>
      <c r="G30" s="876"/>
      <c r="H30" s="876"/>
      <c r="I30" s="876"/>
      <c r="J30" s="876"/>
      <c r="K30" s="876"/>
      <c r="L30" s="876"/>
      <c r="M30" s="876"/>
      <c r="N30" s="876"/>
      <c r="O30" s="143"/>
      <c r="P30" s="144"/>
    </row>
    <row r="31" spans="1:16" ht="27.95" customHeight="1">
      <c r="C31" s="782" t="s">
        <v>781</v>
      </c>
      <c r="D31" s="857"/>
      <c r="E31" s="2001">
        <f>'Analyse rétrospective (1)'!$I$41</f>
        <v>0</v>
      </c>
      <c r="F31" s="1532"/>
      <c r="G31" s="1531" t="e">
        <f>'Plan pluriannuel de financement'!$C$74</f>
        <v>#VALUE!</v>
      </c>
      <c r="H31" s="1532"/>
      <c r="I31" s="1531" t="e">
        <f>'Plan pluriannuel de financement'!$D$74</f>
        <v>#VALUE!</v>
      </c>
      <c r="J31" s="1532"/>
      <c r="K31" s="1531" t="e">
        <f>'Plan pluriannuel de financement'!$F$74</f>
        <v>#VALUE!</v>
      </c>
      <c r="L31" s="1532"/>
      <c r="M31" s="1531" t="e">
        <f>'Plan pluriannuel de financement'!$H$74</f>
        <v>#VALUE!</v>
      </c>
      <c r="N31" s="1532"/>
      <c r="O31" s="1531" t="e">
        <f>'Plan pluriannuel de financement'!$J$74</f>
        <v>#VALUE!</v>
      </c>
      <c r="P31" s="2002"/>
    </row>
    <row r="32" spans="1:16" ht="17.25" thickBot="1">
      <c r="C32" s="147"/>
      <c r="D32" s="148"/>
      <c r="E32" s="148"/>
      <c r="F32" s="148"/>
      <c r="G32" s="148"/>
      <c r="H32" s="148"/>
      <c r="I32" s="148"/>
      <c r="J32" s="148"/>
      <c r="K32" s="148"/>
      <c r="L32" s="148"/>
      <c r="M32" s="148"/>
      <c r="N32" s="148"/>
      <c r="O32" s="149"/>
      <c r="P32" s="150"/>
    </row>
    <row r="33" spans="3:16" ht="20.100000000000001" customHeight="1">
      <c r="C33" s="159"/>
      <c r="D33" s="160"/>
      <c r="E33" s="160"/>
      <c r="F33" s="160"/>
      <c r="G33" s="160"/>
      <c r="H33" s="160"/>
      <c r="I33" s="160"/>
      <c r="J33" s="160"/>
      <c r="K33" s="160"/>
      <c r="L33" s="160"/>
      <c r="M33" s="160"/>
      <c r="N33" s="160"/>
      <c r="O33" s="887"/>
      <c r="P33" s="145"/>
    </row>
    <row r="34" spans="3:16" ht="20.100000000000001" customHeight="1" thickBot="1">
      <c r="D34" s="133"/>
      <c r="E34" s="133"/>
      <c r="F34" s="133"/>
      <c r="G34" s="133"/>
      <c r="H34" s="133"/>
      <c r="I34" s="133"/>
      <c r="J34" s="133"/>
      <c r="K34" s="133"/>
      <c r="L34" s="133"/>
      <c r="M34" s="133"/>
      <c r="N34" s="133"/>
      <c r="O34" s="133"/>
      <c r="P34" s="133"/>
    </row>
    <row r="35" spans="3:16">
      <c r="C35" s="534" t="s">
        <v>146</v>
      </c>
      <c r="D35" s="1462" t="s">
        <v>382</v>
      </c>
      <c r="E35" s="1463"/>
      <c r="F35" s="1463"/>
      <c r="G35" s="1463"/>
      <c r="H35" s="1463"/>
      <c r="I35" s="1463"/>
      <c r="J35" s="1463"/>
      <c r="K35" s="1463"/>
      <c r="L35" s="1463"/>
      <c r="M35" s="1463"/>
      <c r="N35" s="1463"/>
      <c r="O35" s="1463"/>
      <c r="P35" s="1464"/>
    </row>
    <row r="36" spans="3:16">
      <c r="C36" s="535" t="s">
        <v>206</v>
      </c>
      <c r="D36" s="1471" t="s">
        <v>198</v>
      </c>
      <c r="E36" s="1472"/>
      <c r="F36" s="1472"/>
      <c r="G36" s="1472"/>
      <c r="H36" s="1472"/>
      <c r="I36" s="1472"/>
      <c r="J36" s="1472"/>
      <c r="K36" s="1472"/>
      <c r="L36" s="1472"/>
      <c r="M36" s="1472"/>
      <c r="N36" s="1472"/>
      <c r="O36" s="1472"/>
      <c r="P36" s="1473"/>
    </row>
    <row r="37" spans="3:16" ht="24.95" customHeight="1">
      <c r="C37" s="536" t="s">
        <v>147</v>
      </c>
      <c r="D37" s="1517" t="s">
        <v>666</v>
      </c>
      <c r="E37" s="1518"/>
      <c r="F37" s="1518"/>
      <c r="G37" s="1518"/>
      <c r="H37" s="1518"/>
      <c r="I37" s="1518"/>
      <c r="J37" s="1518"/>
      <c r="K37" s="1518"/>
      <c r="L37" s="1518"/>
      <c r="M37" s="1518"/>
      <c r="N37" s="1518"/>
      <c r="O37" s="1518"/>
      <c r="P37" s="1519"/>
    </row>
    <row r="38" spans="3:16">
      <c r="C38" s="137" t="s">
        <v>220</v>
      </c>
      <c r="D38" s="1989" t="s">
        <v>222</v>
      </c>
      <c r="E38" s="1989"/>
      <c r="F38" s="1989"/>
      <c r="G38" s="1989"/>
      <c r="H38" s="1989"/>
      <c r="I38" s="1989"/>
      <c r="J38" s="1989"/>
      <c r="K38" s="1989"/>
      <c r="L38" s="1989"/>
      <c r="M38" s="1989"/>
      <c r="N38" s="1989"/>
      <c r="O38" s="1989"/>
      <c r="P38" s="1990"/>
    </row>
    <row r="39" spans="3:16" ht="17.25" customHeight="1">
      <c r="C39" s="138"/>
      <c r="D39" s="139"/>
      <c r="E39" s="139"/>
      <c r="F39" s="139"/>
      <c r="G39" s="139"/>
      <c r="H39" s="139"/>
      <c r="I39" s="139"/>
      <c r="J39" s="139"/>
      <c r="K39" s="139"/>
      <c r="L39" s="139"/>
      <c r="M39" s="139"/>
      <c r="N39" s="139"/>
      <c r="O39" s="139"/>
      <c r="P39" s="140"/>
    </row>
    <row r="40" spans="3:16">
      <c r="C40" s="141"/>
      <c r="D40" s="142"/>
      <c r="E40" s="1970">
        <f>'Bilan financier'!$E$17</f>
        <v>2019</v>
      </c>
      <c r="F40" s="1565"/>
      <c r="G40" s="1970">
        <f>'Bilan financier'!$E$17+1</f>
        <v>2020</v>
      </c>
      <c r="H40" s="1565"/>
      <c r="I40" s="1971">
        <f>'Bilan financier'!$E$17+2</f>
        <v>2021</v>
      </c>
      <c r="J40" s="1971"/>
      <c r="K40" s="1970">
        <f>'Bilan financier'!$E$17+3</f>
        <v>2022</v>
      </c>
      <c r="L40" s="1565"/>
      <c r="M40" s="1971">
        <f>'Bilan financier'!$E$17+4</f>
        <v>2023</v>
      </c>
      <c r="N40" s="1971"/>
      <c r="O40" s="1970">
        <f>'Bilan financier'!$E$17+5</f>
        <v>2024</v>
      </c>
      <c r="P40" s="1972"/>
    </row>
    <row r="41" spans="3:16" ht="5.0999999999999996" customHeight="1">
      <c r="C41" s="141"/>
      <c r="D41" s="876"/>
      <c r="E41" s="876"/>
      <c r="F41" s="876"/>
      <c r="G41" s="876"/>
      <c r="H41" s="876"/>
      <c r="I41" s="876"/>
      <c r="J41" s="876"/>
      <c r="K41" s="876"/>
      <c r="L41" s="876"/>
      <c r="M41" s="876"/>
      <c r="N41" s="876"/>
      <c r="O41" s="143"/>
      <c r="P41" s="144"/>
    </row>
    <row r="42" spans="3:16" ht="27.95" customHeight="1">
      <c r="C42" s="782" t="s">
        <v>779</v>
      </c>
      <c r="D42" s="857"/>
      <c r="E42" s="1533" t="str">
        <f>IF('Analyse rétrospective (1)'!$E$52&gt;0,'Analyse rétrospective (1)'!$E$52,"")</f>
        <v/>
      </c>
      <c r="F42" s="1534"/>
      <c r="G42" s="1512" t="str">
        <f>IF('Plan pluriannuel de financement'!$C$95&gt;0,'Plan pluriannuel de financement'!$C$95,"")</f>
        <v/>
      </c>
      <c r="H42" s="1513"/>
      <c r="I42" s="1512" t="str">
        <f>IF('Plan pluriannuel de financement'!$D$95&gt;0,'Plan pluriannuel de financement'!$D$95,"")</f>
        <v/>
      </c>
      <c r="J42" s="1513"/>
      <c r="K42" s="1512" t="str">
        <f>IF('Plan pluriannuel de financement'!$F$95&gt;0,'Plan pluriannuel de financement'!$F$95,"")</f>
        <v/>
      </c>
      <c r="L42" s="1513"/>
      <c r="M42" s="1512" t="str">
        <f>IF('Plan pluriannuel de financement'!$H$95&gt;0,'Plan pluriannuel de financement'!$H$95,"")</f>
        <v/>
      </c>
      <c r="N42" s="1513"/>
      <c r="O42" s="1512" t="str">
        <f>IF('Plan pluriannuel de financement'!$J$95&gt;0,'Plan pluriannuel de financement'!$J$95,"")</f>
        <v/>
      </c>
      <c r="P42" s="2000"/>
    </row>
    <row r="43" spans="3:16" ht="27.95" customHeight="1">
      <c r="C43" s="782" t="s">
        <v>780</v>
      </c>
      <c r="D43" s="857"/>
      <c r="E43" s="1529" t="str">
        <f>IF('Analyse rétrospective (1)'!$I$53&gt;0,'Analyse rétrospective (1)'!$I$53,"")</f>
        <v/>
      </c>
      <c r="F43" s="1530"/>
      <c r="G43" s="1529" t="str">
        <f>IF('Plan pluriannuel de financement'!$C$95&lt;0,-'Plan pluriannuel de financement'!$C$95,"")</f>
        <v/>
      </c>
      <c r="H43" s="1530"/>
      <c r="I43" s="1529" t="str">
        <f>IF('Plan pluriannuel de financement'!$D$95&lt;0,-'Plan pluriannuel de financement'!$D$95,"")</f>
        <v/>
      </c>
      <c r="J43" s="1530"/>
      <c r="K43" s="1529" t="str">
        <f>IF('Plan pluriannuel de financement'!$F$95&lt;0,-'Plan pluriannuel de financement'!$F$95,"")</f>
        <v/>
      </c>
      <c r="L43" s="1530"/>
      <c r="M43" s="1529" t="str">
        <f>IF('Plan pluriannuel de financement'!$H$95&lt;0,-'Plan pluriannuel de financement'!$H$95,"")</f>
        <v/>
      </c>
      <c r="N43" s="1530"/>
      <c r="O43" s="1987" t="str">
        <f>IF('Plan pluriannuel de financement'!$J$95&lt;0,-'Plan pluriannuel de financement'!$J$95,"")</f>
        <v/>
      </c>
      <c r="P43" s="1988"/>
    </row>
    <row r="44" spans="3:16" ht="17.25" thickBot="1">
      <c r="C44" s="147"/>
      <c r="D44" s="148"/>
      <c r="E44" s="148"/>
      <c r="F44" s="148"/>
      <c r="G44" s="148"/>
      <c r="H44" s="148"/>
      <c r="I44" s="148"/>
      <c r="J44" s="148"/>
      <c r="K44" s="148"/>
      <c r="L44" s="148"/>
      <c r="M44" s="148"/>
      <c r="N44" s="148"/>
      <c r="O44" s="149"/>
      <c r="P44" s="150"/>
    </row>
    <row r="45" spans="3:16" ht="20.100000000000001" customHeight="1">
      <c r="C45" s="159"/>
      <c r="D45" s="160"/>
      <c r="E45" s="160"/>
      <c r="F45" s="160"/>
      <c r="G45" s="160"/>
      <c r="H45" s="160"/>
      <c r="I45" s="160"/>
      <c r="J45" s="160"/>
      <c r="K45" s="160"/>
      <c r="L45" s="160"/>
      <c r="M45" s="160"/>
      <c r="N45" s="160"/>
      <c r="O45" s="887"/>
      <c r="P45" s="145"/>
    </row>
    <row r="46" spans="3:16" ht="20.100000000000001" customHeight="1" thickBot="1">
      <c r="D46" s="133"/>
      <c r="E46" s="133"/>
      <c r="F46" s="133"/>
      <c r="G46" s="133"/>
      <c r="H46" s="133"/>
      <c r="I46" s="133"/>
      <c r="J46" s="133"/>
      <c r="K46" s="133"/>
      <c r="L46" s="133"/>
      <c r="M46" s="133"/>
      <c r="N46" s="133"/>
      <c r="O46" s="133"/>
      <c r="P46" s="133"/>
    </row>
    <row r="47" spans="3:16">
      <c r="C47" s="534" t="s">
        <v>146</v>
      </c>
      <c r="D47" s="1462" t="s">
        <v>382</v>
      </c>
      <c r="E47" s="1463"/>
      <c r="F47" s="1463"/>
      <c r="G47" s="1463"/>
      <c r="H47" s="1463"/>
      <c r="I47" s="1463"/>
      <c r="J47" s="1463"/>
      <c r="K47" s="1463"/>
      <c r="L47" s="1463"/>
      <c r="M47" s="1463"/>
      <c r="N47" s="1463"/>
      <c r="O47" s="1463"/>
      <c r="P47" s="1464"/>
    </row>
    <row r="48" spans="3:16">
      <c r="C48" s="535" t="s">
        <v>206</v>
      </c>
      <c r="D48" s="1471" t="s">
        <v>198</v>
      </c>
      <c r="E48" s="1472"/>
      <c r="F48" s="1472"/>
      <c r="G48" s="1472"/>
      <c r="H48" s="1472"/>
      <c r="I48" s="1472"/>
      <c r="J48" s="1472"/>
      <c r="K48" s="1472"/>
      <c r="L48" s="1472"/>
      <c r="M48" s="1472"/>
      <c r="N48" s="1472"/>
      <c r="O48" s="1472"/>
      <c r="P48" s="1473"/>
    </row>
    <row r="49" spans="3:16" ht="24.95" customHeight="1">
      <c r="C49" s="536" t="s">
        <v>147</v>
      </c>
      <c r="D49" s="1517" t="s">
        <v>257</v>
      </c>
      <c r="E49" s="1518"/>
      <c r="F49" s="1518"/>
      <c r="G49" s="1518"/>
      <c r="H49" s="1518"/>
      <c r="I49" s="1518"/>
      <c r="J49" s="1518"/>
      <c r="K49" s="1518"/>
      <c r="L49" s="1518"/>
      <c r="M49" s="1518"/>
      <c r="N49" s="1518"/>
      <c r="O49" s="1518"/>
      <c r="P49" s="1519"/>
    </row>
    <row r="50" spans="3:16">
      <c r="C50" s="137" t="s">
        <v>220</v>
      </c>
      <c r="D50" s="1989" t="s">
        <v>222</v>
      </c>
      <c r="E50" s="1989"/>
      <c r="F50" s="1989"/>
      <c r="G50" s="1989"/>
      <c r="H50" s="1989"/>
      <c r="I50" s="1989"/>
      <c r="J50" s="1989"/>
      <c r="K50" s="1989"/>
      <c r="L50" s="1989"/>
      <c r="M50" s="1989"/>
      <c r="N50" s="1989"/>
      <c r="O50" s="1989"/>
      <c r="P50" s="1990"/>
    </row>
    <row r="51" spans="3:16" ht="17.25" customHeight="1">
      <c r="C51" s="138"/>
      <c r="D51" s="139"/>
      <c r="E51" s="139"/>
      <c r="F51" s="139"/>
      <c r="G51" s="139"/>
      <c r="H51" s="139"/>
      <c r="I51" s="139"/>
      <c r="J51" s="139"/>
      <c r="K51" s="139"/>
      <c r="L51" s="139"/>
      <c r="M51" s="139"/>
      <c r="N51" s="139"/>
      <c r="O51" s="537"/>
      <c r="P51" s="538"/>
    </row>
    <row r="52" spans="3:16">
      <c r="C52" s="141"/>
      <c r="D52" s="142"/>
      <c r="E52" s="1970">
        <f>'Bilan financier'!$E$17</f>
        <v>2019</v>
      </c>
      <c r="F52" s="1565"/>
      <c r="G52" s="1970">
        <f>'Bilan financier'!$E$17+1</f>
        <v>2020</v>
      </c>
      <c r="H52" s="1565"/>
      <c r="I52" s="1971">
        <f>'Bilan financier'!$E$17+2</f>
        <v>2021</v>
      </c>
      <c r="J52" s="1971"/>
      <c r="K52" s="1970">
        <f>'Bilan financier'!$E$17+3</f>
        <v>2022</v>
      </c>
      <c r="L52" s="1565"/>
      <c r="M52" s="1971">
        <f>'Bilan financier'!$E$17+4</f>
        <v>2023</v>
      </c>
      <c r="N52" s="1971"/>
      <c r="O52" s="1970">
        <f>'Bilan financier'!$E$17+5</f>
        <v>2024</v>
      </c>
      <c r="P52" s="1972"/>
    </row>
    <row r="53" spans="3:16" ht="5.0999999999999996" customHeight="1">
      <c r="C53" s="141"/>
      <c r="D53" s="876"/>
      <c r="E53" s="876"/>
      <c r="F53" s="876"/>
      <c r="G53" s="876"/>
      <c r="H53" s="876"/>
      <c r="I53" s="876"/>
      <c r="J53" s="876"/>
      <c r="K53" s="876"/>
      <c r="L53" s="876"/>
      <c r="M53" s="876"/>
      <c r="N53" s="876"/>
      <c r="O53" s="143"/>
      <c r="P53" s="144"/>
    </row>
    <row r="54" spans="3:16" ht="27.95" customHeight="1">
      <c r="C54" s="782" t="s">
        <v>778</v>
      </c>
      <c r="D54" s="857"/>
      <c r="E54" s="1516">
        <f>'Plan pluriannuel de financement'!$C$97</f>
        <v>0</v>
      </c>
      <c r="F54" s="1513"/>
      <c r="G54" s="1512">
        <f>'Plan pluriannuel de financement'!$C$98</f>
        <v>0</v>
      </c>
      <c r="H54" s="1513"/>
      <c r="I54" s="1987">
        <f>'Plan pluriannuel de financement'!$D$98</f>
        <v>0</v>
      </c>
      <c r="J54" s="1530"/>
      <c r="K54" s="1987">
        <f>'Plan pluriannuel de financement'!$F$98</f>
        <v>0</v>
      </c>
      <c r="L54" s="1530"/>
      <c r="M54" s="1987">
        <f>'Plan pluriannuel de financement'!$H$98</f>
        <v>0</v>
      </c>
      <c r="N54" s="1530"/>
      <c r="O54" s="1987">
        <f>'Plan pluriannuel de financement'!$J$98</f>
        <v>0</v>
      </c>
      <c r="P54" s="1988"/>
    </row>
    <row r="55" spans="3:16" ht="17.25" thickBot="1">
      <c r="C55" s="147"/>
      <c r="D55" s="148"/>
      <c r="E55" s="148"/>
      <c r="F55" s="148"/>
      <c r="G55" s="148"/>
      <c r="H55" s="148"/>
      <c r="I55" s="148"/>
      <c r="J55" s="148"/>
      <c r="K55" s="148"/>
      <c r="L55" s="148"/>
      <c r="M55" s="148"/>
      <c r="N55" s="148"/>
      <c r="O55" s="149"/>
      <c r="P55" s="150"/>
    </row>
    <row r="56" spans="3:16">
      <c r="C56" s="159"/>
      <c r="D56" s="160"/>
      <c r="E56" s="160"/>
      <c r="F56" s="160"/>
      <c r="G56" s="160"/>
      <c r="H56" s="160"/>
      <c r="I56" s="160"/>
      <c r="J56" s="160"/>
      <c r="K56" s="160"/>
      <c r="L56" s="160"/>
      <c r="M56" s="160"/>
      <c r="N56" s="160"/>
      <c r="O56" s="887"/>
      <c r="P56" s="145"/>
    </row>
    <row r="57" spans="3:16" ht="17.25" thickBot="1">
      <c r="C57" s="159"/>
      <c r="D57" s="160"/>
      <c r="E57" s="160"/>
      <c r="F57" s="160"/>
      <c r="G57" s="160"/>
      <c r="H57" s="160"/>
      <c r="I57" s="160"/>
      <c r="J57" s="160"/>
      <c r="K57" s="160"/>
      <c r="L57" s="160"/>
      <c r="M57" s="160"/>
      <c r="N57" s="160"/>
      <c r="O57" s="887"/>
      <c r="P57" s="145"/>
    </row>
    <row r="58" spans="3:16">
      <c r="C58" s="792" t="s">
        <v>146</v>
      </c>
      <c r="D58" s="1462" t="s">
        <v>383</v>
      </c>
      <c r="E58" s="1463"/>
      <c r="F58" s="1463"/>
      <c r="G58" s="1463"/>
      <c r="H58" s="1463"/>
      <c r="I58" s="1463"/>
      <c r="J58" s="1463"/>
      <c r="K58" s="1463"/>
      <c r="L58" s="1463"/>
      <c r="M58" s="1463"/>
      <c r="N58" s="1463"/>
      <c r="O58" s="1463"/>
      <c r="P58" s="1464"/>
    </row>
    <row r="59" spans="3:16">
      <c r="C59" s="793" t="s">
        <v>206</v>
      </c>
      <c r="D59" s="1471" t="s">
        <v>198</v>
      </c>
      <c r="E59" s="1472"/>
      <c r="F59" s="1472"/>
      <c r="G59" s="1472"/>
      <c r="H59" s="1472"/>
      <c r="I59" s="1472"/>
      <c r="J59" s="1472"/>
      <c r="K59" s="1472"/>
      <c r="L59" s="1472"/>
      <c r="M59" s="1472"/>
      <c r="N59" s="1472"/>
      <c r="O59" s="1472"/>
      <c r="P59" s="1473"/>
    </row>
    <row r="60" spans="3:16" ht="24.95" customHeight="1">
      <c r="C60" s="794" t="s">
        <v>147</v>
      </c>
      <c r="D60" s="1493" t="s">
        <v>240</v>
      </c>
      <c r="E60" s="1494"/>
      <c r="F60" s="1494"/>
      <c r="G60" s="1494"/>
      <c r="H60" s="1494"/>
      <c r="I60" s="1494"/>
      <c r="J60" s="1494"/>
      <c r="K60" s="1494"/>
      <c r="L60" s="1494"/>
      <c r="M60" s="1494"/>
      <c r="N60" s="1494"/>
      <c r="O60" s="1494"/>
      <c r="P60" s="1495"/>
    </row>
    <row r="61" spans="3:16">
      <c r="C61" s="167" t="s">
        <v>220</v>
      </c>
      <c r="D61" s="1968" t="s">
        <v>221</v>
      </c>
      <c r="E61" s="1968"/>
      <c r="F61" s="1968"/>
      <c r="G61" s="1968"/>
      <c r="H61" s="1968"/>
      <c r="I61" s="1968"/>
      <c r="J61" s="1968"/>
      <c r="K61" s="1968"/>
      <c r="L61" s="1968"/>
      <c r="M61" s="1968"/>
      <c r="N61" s="1968"/>
      <c r="O61" s="1968"/>
      <c r="P61" s="1969"/>
    </row>
    <row r="62" spans="3:16" ht="17.25" customHeight="1">
      <c r="C62" s="138"/>
      <c r="D62" s="139"/>
      <c r="E62" s="139"/>
      <c r="F62" s="139"/>
      <c r="G62" s="139"/>
      <c r="H62" s="139"/>
      <c r="I62" s="139"/>
      <c r="J62" s="139"/>
      <c r="K62" s="139"/>
      <c r="L62" s="139"/>
      <c r="M62" s="139"/>
      <c r="N62" s="139"/>
      <c r="O62" s="537"/>
      <c r="P62" s="538"/>
    </row>
    <row r="63" spans="3:16">
      <c r="C63" s="141"/>
      <c r="D63" s="142"/>
      <c r="E63" s="1970">
        <f>'Bilan financier'!$E$17</f>
        <v>2019</v>
      </c>
      <c r="F63" s="1565"/>
      <c r="G63" s="1970">
        <f>'Bilan financier'!$E$17+1</f>
        <v>2020</v>
      </c>
      <c r="H63" s="1565"/>
      <c r="I63" s="1971">
        <f>'Bilan financier'!$E$17+2</f>
        <v>2021</v>
      </c>
      <c r="J63" s="1971"/>
      <c r="K63" s="1970">
        <f>'Bilan financier'!$E$17+3</f>
        <v>2022</v>
      </c>
      <c r="L63" s="1565"/>
      <c r="M63" s="1971">
        <f>'Bilan financier'!$E$17+4</f>
        <v>2023</v>
      </c>
      <c r="N63" s="1971"/>
      <c r="O63" s="1970">
        <f>'Bilan financier'!$E$17+5</f>
        <v>2024</v>
      </c>
      <c r="P63" s="1972"/>
    </row>
    <row r="64" spans="3:16" ht="5.0999999999999996" customHeight="1">
      <c r="C64" s="141"/>
      <c r="D64" s="876"/>
      <c r="E64" s="876"/>
      <c r="F64" s="876"/>
      <c r="G64" s="876"/>
      <c r="H64" s="876"/>
      <c r="I64" s="876"/>
      <c r="J64" s="876"/>
      <c r="K64" s="876"/>
      <c r="L64" s="876"/>
      <c r="M64" s="876"/>
      <c r="N64" s="876"/>
      <c r="O64" s="143"/>
      <c r="P64" s="144"/>
    </row>
    <row r="65" spans="3:16" ht="31.5" customHeight="1">
      <c r="C65" s="2015" t="s">
        <v>240</v>
      </c>
      <c r="D65" s="2016"/>
      <c r="E65" s="2013" t="e">
        <f>'Analyse rétrospective (1)'!$I$74</f>
        <v>#DIV/0!</v>
      </c>
      <c r="F65" s="1992"/>
      <c r="G65" s="1991" t="e">
        <f>(('Bilan financier'!$I$26+'Bilan financier'!$I$27+'Plan pluriannuel de financement'!C23+'Plan pluriannuel de financement'!C24)/('Bilan financier'!$I$20+'Bilan financier'!$I$21+'Bilan financier'!$I$22+'Bilan financier'!$I$23+'Bilan financier'!$I$24+'Bilan financier'!$I$25+'Bilan financier'!$I$41+'Bilan financier'!$I$42+'Bilan financier'!$I$43-'Bilan financier'!$E$44+'Bilan financier'!$I$45+'Bilan financier'!$I$46+'Bilan financier'!$I$47-'Bilan financier'!$E$41+'Plan pluriannuel de financement'!C16+'Plan pluriannuel de financement'!C17+'Plan pluriannuel de financement'!C18+'Plan pluriannuel de financement'!C19+'Plan pluriannuel de financement'!C20+'Plan pluriannuel de financement'!C21+'Plan pluriannuel de financement'!C22+'Plan pluriannuel de financement'!C23+'Plan pluriannuel de financement'!C24+'Plan pluriannuel de financement'!C54+'Plan pluriannuel de financement'!C55+'Plan pluriannuel de financement'!C56+'Plan pluriannuel de financement'!C57-'Plan pluriannuel de financement'!C63-'Plan pluriannuel de financement'!C35-'Plan pluriannuel de financement'!C36-'Plan pluriannuel de financement'!C37-'Plan pluriannuel de financement'!C61-'Plan pluriannuel de financement'!C62))</f>
        <v>#DIV/0!</v>
      </c>
      <c r="H65" s="1992"/>
      <c r="I65" s="1991" t="e">
        <f>(('Bilan financier'!$I$26+'Bilan financier'!$I$27+'Plan pluriannuel de financement'!E23+'Plan pluriannuel de financement'!E24)/('Bilan financier'!$I$20+'Bilan financier'!$I$21+'Bilan financier'!$I$22+'Bilan financier'!$I$23+'Bilan financier'!$I$24+'Bilan financier'!$I$25+'Bilan financier'!$I$41+'Bilan financier'!$I$42+'Bilan financier'!$I$43-'Bilan financier'!$E$44+'Bilan financier'!$I$45+'Bilan financier'!$I$46+'Bilan financier'!$I$47-'Bilan financier'!$E$41+'Plan pluriannuel de financement'!E16+'Plan pluriannuel de financement'!E17+'Plan pluriannuel de financement'!E18+'Plan pluriannuel de financement'!E19+'Plan pluriannuel de financement'!E20+'Plan pluriannuel de financement'!E21+'Plan pluriannuel de financement'!E22+'Plan pluriannuel de financement'!E23+'Plan pluriannuel de financement'!E24+'Plan pluriannuel de financement'!E54+'Plan pluriannuel de financement'!E55+'Plan pluriannuel de financement'!E56+'Plan pluriannuel de financement'!E57-'Plan pluriannuel de financement'!E63-'Plan pluriannuel de financement'!E35-'Plan pluriannuel de financement'!E36-'Plan pluriannuel de financement'!E37-'Plan pluriannuel de financement'!E61-'Plan pluriannuel de financement'!E62))</f>
        <v>#DIV/0!</v>
      </c>
      <c r="J65" s="1992"/>
      <c r="K65" s="1991" t="e">
        <f>(('Bilan financier'!$I$26+'Bilan financier'!$I$27+'Plan pluriannuel de financement'!G23+'Plan pluriannuel de financement'!G24)/('Bilan financier'!$I$20+'Bilan financier'!$I$21+'Bilan financier'!$I$22+'Bilan financier'!$I$23+'Bilan financier'!$I$24+'Bilan financier'!$I$25+'Bilan financier'!$I$41+'Bilan financier'!$I$42+'Bilan financier'!$I$43-'Bilan financier'!$E$44+'Bilan financier'!$I$45+'Bilan financier'!$I$46+'Bilan financier'!$I$47-'Bilan financier'!$E$41+'Plan pluriannuel de financement'!G16+'Plan pluriannuel de financement'!G17+'Plan pluriannuel de financement'!G18+'Plan pluriannuel de financement'!G19+'Plan pluriannuel de financement'!G20+'Plan pluriannuel de financement'!G21+'Plan pluriannuel de financement'!G22+'Plan pluriannuel de financement'!G23+'Plan pluriannuel de financement'!G24+'Plan pluriannuel de financement'!G54+'Plan pluriannuel de financement'!G55+'Plan pluriannuel de financement'!G56+'Plan pluriannuel de financement'!G57-'Plan pluriannuel de financement'!G63-'Plan pluriannuel de financement'!G35-'Plan pluriannuel de financement'!G36-'Plan pluriannuel de financement'!G37-'Plan pluriannuel de financement'!G61-'Plan pluriannuel de financement'!G62))</f>
        <v>#DIV/0!</v>
      </c>
      <c r="L65" s="1992"/>
      <c r="M65" s="1991" t="e">
        <f>(('Bilan financier'!$I$26+'Bilan financier'!$I$27+'Plan pluriannuel de financement'!I23+'Plan pluriannuel de financement'!I24)/('Bilan financier'!$I$20+'Bilan financier'!$I$21+'Bilan financier'!$I$22+'Bilan financier'!$I$23+'Bilan financier'!$I$24+'Bilan financier'!$I$25+'Bilan financier'!$I$41+'Bilan financier'!$I$42+'Bilan financier'!$I$43-'Bilan financier'!$E$44+'Bilan financier'!$I$45+'Bilan financier'!$I$46+'Bilan financier'!$I$47-'Bilan financier'!$E$41+'Plan pluriannuel de financement'!I16+'Plan pluriannuel de financement'!I17+'Plan pluriannuel de financement'!I18+'Plan pluriannuel de financement'!I19+'Plan pluriannuel de financement'!I20+'Plan pluriannuel de financement'!I21+'Plan pluriannuel de financement'!I22+'Plan pluriannuel de financement'!I23+'Plan pluriannuel de financement'!I24+'Plan pluriannuel de financement'!I54+'Plan pluriannuel de financement'!I56+'Plan pluriannuel de financement'!I55+'Plan pluriannuel de financement'!I57-'Plan pluriannuel de financement'!I63-'Plan pluriannuel de financement'!I35-'Plan pluriannuel de financement'!I36-'Plan pluriannuel de financement'!I37-'Plan pluriannuel de financement'!I61-'Plan pluriannuel de financement'!I62))</f>
        <v>#DIV/0!</v>
      </c>
      <c r="N65" s="1992"/>
      <c r="O65" s="1991" t="e">
        <f>(('Bilan financier'!$I$26+'Bilan financier'!$I$27+'Plan pluriannuel de financement'!K23+'Plan pluriannuel de financement'!K24)/('Bilan financier'!$I$20+'Bilan financier'!$I$21+'Bilan financier'!$I$22+'Bilan financier'!$I$23+'Bilan financier'!$I$24+'Bilan financier'!$I$25+'Bilan financier'!$I$41+'Bilan financier'!$I$42+'Bilan financier'!$I$43-'Bilan financier'!$E$44+'Bilan financier'!$I$45+'Bilan financier'!$I$46+'Bilan financier'!$I$47-'Bilan financier'!$E$41+'Plan pluriannuel de financement'!K16+'Plan pluriannuel de financement'!K17+'Plan pluriannuel de financement'!K18+'Plan pluriannuel de financement'!K19+'Plan pluriannuel de financement'!K20+'Plan pluriannuel de financement'!K21+'Plan pluriannuel de financement'!K22+'Plan pluriannuel de financement'!K23+'Plan pluriannuel de financement'!K24+'Plan pluriannuel de financement'!K54+'Plan pluriannuel de financement'!K55+'Plan pluriannuel de financement'!K56+'Plan pluriannuel de financement'!K57-'Plan pluriannuel de financement'!K63-'Plan pluriannuel de financement'!K35-'Plan pluriannuel de financement'!K36-'Plan pluriannuel de financement'!K37-'Plan pluriannuel de financement'!K61-'Plan pluriannuel de financement'!K62))</f>
        <v>#DIV/0!</v>
      </c>
      <c r="P65" s="2014"/>
    </row>
    <row r="66" spans="3:16" ht="17.25" thickBot="1">
      <c r="C66" s="844"/>
      <c r="D66" s="845"/>
      <c r="E66" s="148"/>
      <c r="F66" s="148"/>
      <c r="G66" s="148"/>
      <c r="H66" s="148"/>
      <c r="I66" s="148"/>
      <c r="J66" s="148"/>
      <c r="K66" s="148"/>
      <c r="L66" s="148"/>
      <c r="M66" s="148"/>
      <c r="N66" s="148"/>
      <c r="O66" s="149"/>
      <c r="P66" s="150"/>
    </row>
    <row r="67" spans="3:16">
      <c r="C67" s="159"/>
      <c r="D67" s="160"/>
      <c r="E67" s="160"/>
      <c r="F67" s="160"/>
      <c r="G67" s="160"/>
      <c r="H67" s="160"/>
      <c r="I67" s="160"/>
      <c r="J67" s="160"/>
      <c r="K67" s="160"/>
      <c r="L67" s="160"/>
      <c r="M67" s="160"/>
      <c r="N67" s="160"/>
      <c r="O67" s="887"/>
      <c r="P67" s="145"/>
    </row>
    <row r="68" spans="3:16" ht="17.25" thickBot="1">
      <c r="C68" s="159"/>
      <c r="D68" s="160"/>
      <c r="E68" s="160"/>
      <c r="F68" s="160"/>
      <c r="G68" s="160"/>
      <c r="H68" s="160"/>
      <c r="I68" s="160"/>
      <c r="J68" s="160"/>
      <c r="K68" s="160"/>
      <c r="L68" s="160"/>
      <c r="M68" s="160"/>
      <c r="N68" s="160"/>
      <c r="O68" s="887"/>
      <c r="P68" s="145"/>
    </row>
    <row r="69" spans="3:16">
      <c r="C69" s="792" t="s">
        <v>146</v>
      </c>
      <c r="D69" s="1462" t="s">
        <v>383</v>
      </c>
      <c r="E69" s="1463"/>
      <c r="F69" s="1463"/>
      <c r="G69" s="1463"/>
      <c r="H69" s="1463"/>
      <c r="I69" s="1463"/>
      <c r="J69" s="1463"/>
      <c r="K69" s="1463"/>
      <c r="L69" s="1463"/>
      <c r="M69" s="1463"/>
      <c r="N69" s="1463"/>
      <c r="O69" s="1463"/>
      <c r="P69" s="1464"/>
    </row>
    <row r="70" spans="3:16">
      <c r="C70" s="793" t="s">
        <v>206</v>
      </c>
      <c r="D70" s="1471" t="s">
        <v>198</v>
      </c>
      <c r="E70" s="1472"/>
      <c r="F70" s="1472"/>
      <c r="G70" s="1472"/>
      <c r="H70" s="1472"/>
      <c r="I70" s="1472"/>
      <c r="J70" s="1472"/>
      <c r="K70" s="1472"/>
      <c r="L70" s="1472"/>
      <c r="M70" s="1472"/>
      <c r="N70" s="1472"/>
      <c r="O70" s="1472"/>
      <c r="P70" s="1473"/>
    </row>
    <row r="71" spans="3:16" ht="24.95" customHeight="1">
      <c r="C71" s="794" t="s">
        <v>147</v>
      </c>
      <c r="D71" s="1493" t="s">
        <v>11</v>
      </c>
      <c r="E71" s="1494"/>
      <c r="F71" s="1494"/>
      <c r="G71" s="1494"/>
      <c r="H71" s="1494"/>
      <c r="I71" s="1494"/>
      <c r="J71" s="1494"/>
      <c r="K71" s="1494"/>
      <c r="L71" s="1494"/>
      <c r="M71" s="1494"/>
      <c r="N71" s="1494"/>
      <c r="O71" s="1494"/>
      <c r="P71" s="1495"/>
    </row>
    <row r="72" spans="3:16">
      <c r="C72" s="167" t="s">
        <v>220</v>
      </c>
      <c r="D72" s="1968" t="s">
        <v>221</v>
      </c>
      <c r="E72" s="1968"/>
      <c r="F72" s="1968"/>
      <c r="G72" s="1968"/>
      <c r="H72" s="1968"/>
      <c r="I72" s="1968"/>
      <c r="J72" s="1968"/>
      <c r="K72" s="1968"/>
      <c r="L72" s="1968"/>
      <c r="M72" s="1968"/>
      <c r="N72" s="1968"/>
      <c r="O72" s="1968"/>
      <c r="P72" s="1969"/>
    </row>
    <row r="73" spans="3:16" ht="17.25" customHeight="1">
      <c r="C73" s="138"/>
      <c r="D73" s="139"/>
      <c r="E73" s="139"/>
      <c r="F73" s="139"/>
      <c r="G73" s="139"/>
      <c r="H73" s="139"/>
      <c r="I73" s="139"/>
      <c r="J73" s="139"/>
      <c r="K73" s="139"/>
      <c r="L73" s="139"/>
      <c r="M73" s="139"/>
      <c r="N73" s="139"/>
      <c r="O73" s="537"/>
      <c r="P73" s="538"/>
    </row>
    <row r="74" spans="3:16">
      <c r="C74" s="141"/>
      <c r="D74" s="142"/>
      <c r="E74" s="1970">
        <f>'Bilan financier'!$E$17</f>
        <v>2019</v>
      </c>
      <c r="F74" s="1565"/>
      <c r="G74" s="1970">
        <f>'Bilan financier'!$E$17+1</f>
        <v>2020</v>
      </c>
      <c r="H74" s="1565"/>
      <c r="I74" s="1971">
        <f>'Bilan financier'!$E$17+2</f>
        <v>2021</v>
      </c>
      <c r="J74" s="1971"/>
      <c r="K74" s="1970">
        <f>'Bilan financier'!$E$17+3</f>
        <v>2022</v>
      </c>
      <c r="L74" s="1565"/>
      <c r="M74" s="1971">
        <f>'Bilan financier'!$E$17+4</f>
        <v>2023</v>
      </c>
      <c r="N74" s="1971"/>
      <c r="O74" s="1970">
        <f>'Bilan financier'!$E$17+5</f>
        <v>2024</v>
      </c>
      <c r="P74" s="1972"/>
    </row>
    <row r="75" spans="3:16" ht="5.0999999999999996" customHeight="1">
      <c r="C75" s="141"/>
      <c r="D75" s="876"/>
      <c r="E75" s="876"/>
      <c r="F75" s="876"/>
      <c r="G75" s="876"/>
      <c r="H75" s="876"/>
      <c r="I75" s="876"/>
      <c r="J75" s="876"/>
      <c r="K75" s="876"/>
      <c r="L75" s="876"/>
      <c r="M75" s="876"/>
      <c r="N75" s="876"/>
      <c r="O75" s="143"/>
      <c r="P75" s="144"/>
    </row>
    <row r="76" spans="3:16" ht="27.95" customHeight="1">
      <c r="C76" s="795" t="s">
        <v>851</v>
      </c>
      <c r="D76" s="857"/>
      <c r="E76" s="1978" t="e">
        <f>'Analyse rétrospective (1)'!$I$104</f>
        <v>#DIV/0!</v>
      </c>
      <c r="F76" s="1979"/>
      <c r="G76" s="1966" t="e">
        <f>(('Bilan financier'!$E$20+'Bilan financier'!$E$24+'Bilan financier'!$E$25+'Bilan financier'!$E$26+'Plan pluriannuel de financement'!$C$41+'Plan pluriannuel de financement'!$C$42+'Plan pluriannuel de financement'!$C$43+'Plan pluriannuel de financement'!$C$44)-('Bilan financier'!$I$28+'Plan pluriannuel de financement'!$C$26))/('Bilan financier'!$I$26+'Bilan financier'!$I$27+'Plan pluriannuel de financement'!$C$23+'Plan pluriannuel de financement'!$C$24)</f>
        <v>#DIV/0!</v>
      </c>
      <c r="H76" s="1979"/>
      <c r="I76" s="1966" t="e">
        <f>(('Bilan financier'!$E$20+'Bilan financier'!$E$24+'Bilan financier'!$E$25+'Bilan financier'!$E$26+'Plan pluriannuel de financement'!$C$41+'Plan pluriannuel de financement'!$C$42+'Plan pluriannuel de financement'!$C$43+'Plan pluriannuel de financement'!$C$44+'Plan pluriannuel de financement'!$D$41+'Plan pluriannuel de financement'!$D$42+'Plan pluriannuel de financement'!$D$43+'Plan pluriannuel de financement'!$D$44)-('Bilan financier'!$I$28+'Plan pluriannuel de financement'!$C$26+'Plan pluriannuel de financement'!$D$26))/('Bilan financier'!$I$26+'Bilan financier'!$I$27+'Plan pluriannuel de financement'!$C$23+'Plan pluriannuel de financement'!$C$24+'Plan pluriannuel de financement'!$D$23+'Plan pluriannuel de financement'!$D$24)</f>
        <v>#DIV/0!</v>
      </c>
      <c r="J76" s="1979"/>
      <c r="K76" s="1966" t="e">
        <f>(('Bilan financier'!$E$20+'Bilan financier'!$E$24+'Bilan financier'!$E$25+'Bilan financier'!$E$26+'Plan pluriannuel de financement'!$C$41+'Plan pluriannuel de financement'!$C$42+'Plan pluriannuel de financement'!$C$43+'Plan pluriannuel de financement'!$C$44+'Plan pluriannuel de financement'!$D$41+'Plan pluriannuel de financement'!$D$42+'Plan pluriannuel de financement'!$D$43+'Plan pluriannuel de financement'!$D$44+'Plan pluriannuel de financement'!$F$41+'Plan pluriannuel de financement'!$F$42+'Plan pluriannuel de financement'!$F$43+'Plan pluriannuel de financement'!$F$44)-('Bilan financier'!$I$28+'Plan pluriannuel de financement'!$C$26+'Plan pluriannuel de financement'!$D$26+'Plan pluriannuel de financement'!$F$26))/('Bilan financier'!$I$26+'Bilan financier'!$I$27+'Plan pluriannuel de financement'!$C$23+'Plan pluriannuel de financement'!$C$24+'Plan pluriannuel de financement'!$D$23+'Plan pluriannuel de financement'!$D$24+'Plan pluriannuel de financement'!$F$23+'Plan pluriannuel de financement'!$F$24)</f>
        <v>#DIV/0!</v>
      </c>
      <c r="L76" s="1979"/>
      <c r="M76" s="1966" t="e">
        <f>(('Bilan financier'!$E$20+'Bilan financier'!$E$24+'Bilan financier'!$E$25+'Bilan financier'!$E$26+'Plan pluriannuel de financement'!$C$41+'Plan pluriannuel de financement'!$C$42+'Plan pluriannuel de financement'!$C$43+'Plan pluriannuel de financement'!$C$44+'Plan pluriannuel de financement'!$D$41+'Plan pluriannuel de financement'!$D$42+'Plan pluriannuel de financement'!$D$43+'Plan pluriannuel de financement'!$D$44+'Plan pluriannuel de financement'!$F$41+'Plan pluriannuel de financement'!$F$42+'Plan pluriannuel de financement'!$F$43+'Plan pluriannuel de financement'!$F$44+'Plan pluriannuel de financement'!$H$41+'Plan pluriannuel de financement'!$H$42+'Plan pluriannuel de financement'!$H$43+'Plan pluriannuel de financement'!$H$44)-('Bilan financier'!$I$28+'Plan pluriannuel de financement'!$C$26+'Plan pluriannuel de financement'!$D$26+'Plan pluriannuel de financement'!$F$26+'Plan pluriannuel de financement'!$H$26))/('Bilan financier'!$I$26+'Bilan financier'!$I$27+'Plan pluriannuel de financement'!$C$23+'Plan pluriannuel de financement'!$C$24+'Plan pluriannuel de financement'!$D$23+'Plan pluriannuel de financement'!$D$24+'Plan pluriannuel de financement'!$F$23+'Plan pluriannuel de financement'!$F$24+'Plan pluriannuel de financement'!$H$23+'Plan pluriannuel de financement'!$H$24)</f>
        <v>#DIV/0!</v>
      </c>
      <c r="N76" s="1979"/>
      <c r="O76" s="1966" t="e">
        <f>(('Bilan financier'!$E$20+'Bilan financier'!$E$24+'Bilan financier'!$E$25+'Bilan financier'!$E$26+'Plan pluriannuel de financement'!$C$41+'Plan pluriannuel de financement'!$C$42+'Plan pluriannuel de financement'!$C$43+'Plan pluriannuel de financement'!$C$44+'Plan pluriannuel de financement'!$D$41+'Plan pluriannuel de financement'!$D$42+'Plan pluriannuel de financement'!$D$43+'Plan pluriannuel de financement'!$D$44+'Plan pluriannuel de financement'!$F$41+'Plan pluriannuel de financement'!$F$42+'Plan pluriannuel de financement'!$F$43+'Plan pluriannuel de financement'!$F$44+'Plan pluriannuel de financement'!$H$41+'Plan pluriannuel de financement'!$H$42+'Plan pluriannuel de financement'!$H$43+'Plan pluriannuel de financement'!$H$44+'Plan pluriannuel de financement'!$J$41+'Plan pluriannuel de financement'!$J$42+'Plan pluriannuel de financement'!$J$43+'Plan pluriannuel de financement'!$J$44)-('Bilan financier'!$I$28+'Plan pluriannuel de financement'!$C$26+'Plan pluriannuel de financement'!$D$26+'Plan pluriannuel de financement'!$F$26+'Plan pluriannuel de financement'!$H$26+'Plan pluriannuel de financement'!$J$26))/('Bilan financier'!$I$26+'Bilan financier'!$I$27+'Plan pluriannuel de financement'!$C$23+'Plan pluriannuel de financement'!$C$24+'Plan pluriannuel de financement'!$D$23+'Plan pluriannuel de financement'!$D$24+'Plan pluriannuel de financement'!$F$23+'Plan pluriannuel de financement'!$F$24+'Plan pluriannuel de financement'!$H$23+'Plan pluriannuel de financement'!$H$24+'Plan pluriannuel de financement'!$J$23+'Plan pluriannuel de financement'!$J$24)</f>
        <v>#DIV/0!</v>
      </c>
      <c r="P76" s="1967"/>
    </row>
    <row r="77" spans="3:16" ht="17.25" customHeight="1" thickBot="1">
      <c r="C77" s="147"/>
      <c r="D77" s="148"/>
      <c r="E77" s="148"/>
      <c r="F77" s="148"/>
      <c r="G77" s="148"/>
      <c r="H77" s="148"/>
      <c r="I77" s="148"/>
      <c r="J77" s="148"/>
      <c r="K77" s="148"/>
      <c r="L77" s="148"/>
      <c r="M77" s="148"/>
      <c r="N77" s="148"/>
      <c r="O77" s="149"/>
      <c r="P77" s="150"/>
    </row>
    <row r="78" spans="3:16" ht="20.100000000000001" customHeight="1">
      <c r="C78" s="159"/>
      <c r="D78" s="160"/>
      <c r="E78" s="160"/>
      <c r="F78" s="160"/>
      <c r="G78" s="160"/>
      <c r="H78" s="160"/>
      <c r="I78" s="160"/>
      <c r="J78" s="160"/>
      <c r="K78" s="160"/>
      <c r="L78" s="160"/>
      <c r="M78" s="160"/>
      <c r="N78" s="160"/>
      <c r="O78" s="887"/>
      <c r="P78" s="145"/>
    </row>
    <row r="79" spans="3:16" ht="20.100000000000001" customHeight="1" thickBot="1">
      <c r="C79" s="159"/>
      <c r="D79" s="160"/>
      <c r="E79" s="160"/>
      <c r="F79" s="160"/>
      <c r="G79" s="160"/>
      <c r="H79" s="160"/>
      <c r="I79" s="160"/>
      <c r="J79" s="160"/>
      <c r="K79" s="160"/>
      <c r="L79" s="160"/>
      <c r="M79" s="160"/>
      <c r="N79" s="160"/>
      <c r="O79" s="887"/>
      <c r="P79" s="145"/>
    </row>
    <row r="80" spans="3:16">
      <c r="C80" s="697" t="s">
        <v>146</v>
      </c>
      <c r="D80" s="1462" t="s">
        <v>692</v>
      </c>
      <c r="E80" s="1463"/>
      <c r="F80" s="1463"/>
      <c r="G80" s="1463"/>
      <c r="H80" s="1463"/>
      <c r="I80" s="1463"/>
      <c r="J80" s="1463"/>
      <c r="K80" s="1463"/>
      <c r="L80" s="1463"/>
      <c r="M80" s="1463"/>
      <c r="N80" s="1463"/>
      <c r="O80" s="1463"/>
      <c r="P80" s="1464"/>
    </row>
    <row r="81" spans="3:16">
      <c r="C81" s="698" t="s">
        <v>206</v>
      </c>
      <c r="D81" s="1471" t="s">
        <v>198</v>
      </c>
      <c r="E81" s="1472"/>
      <c r="F81" s="1472"/>
      <c r="G81" s="1472"/>
      <c r="H81" s="1472"/>
      <c r="I81" s="1472"/>
      <c r="J81" s="1472"/>
      <c r="K81" s="1472"/>
      <c r="L81" s="1472"/>
      <c r="M81" s="1472"/>
      <c r="N81" s="1472"/>
      <c r="O81" s="1472"/>
      <c r="P81" s="1473"/>
    </row>
    <row r="82" spans="3:16" ht="24.95" customHeight="1">
      <c r="C82" s="699" t="s">
        <v>147</v>
      </c>
      <c r="D82" s="1483" t="s">
        <v>694</v>
      </c>
      <c r="E82" s="1484"/>
      <c r="F82" s="1484"/>
      <c r="G82" s="1484"/>
      <c r="H82" s="1484"/>
      <c r="I82" s="1484"/>
      <c r="J82" s="1484"/>
      <c r="K82" s="1484"/>
      <c r="L82" s="1484"/>
      <c r="M82" s="1484"/>
      <c r="N82" s="1484"/>
      <c r="O82" s="1484"/>
      <c r="P82" s="1485"/>
    </row>
    <row r="83" spans="3:16">
      <c r="C83" s="684" t="s">
        <v>220</v>
      </c>
      <c r="D83" s="1980" t="s">
        <v>740</v>
      </c>
      <c r="E83" s="1980"/>
      <c r="F83" s="1980"/>
      <c r="G83" s="1980"/>
      <c r="H83" s="1980"/>
      <c r="I83" s="1980"/>
      <c r="J83" s="1980"/>
      <c r="K83" s="1980"/>
      <c r="L83" s="1980"/>
      <c r="M83" s="1980"/>
      <c r="N83" s="1980"/>
      <c r="O83" s="1980"/>
      <c r="P83" s="1981"/>
    </row>
    <row r="84" spans="3:16" ht="17.25">
      <c r="C84" s="138"/>
      <c r="D84" s="139"/>
      <c r="E84" s="139"/>
      <c r="F84" s="139"/>
      <c r="G84" s="139"/>
      <c r="H84" s="139"/>
      <c r="I84" s="139"/>
      <c r="J84" s="139"/>
      <c r="K84" s="139"/>
      <c r="L84" s="139"/>
      <c r="M84" s="139"/>
      <c r="N84" s="139"/>
      <c r="O84" s="537"/>
      <c r="P84" s="538"/>
    </row>
    <row r="85" spans="3:16">
      <c r="C85" s="141"/>
      <c r="D85" s="142"/>
      <c r="E85" s="1970">
        <f>'Bilan financier'!$E$17</f>
        <v>2019</v>
      </c>
      <c r="F85" s="1565"/>
      <c r="G85" s="1970">
        <f>'Bilan financier'!$E$17+1</f>
        <v>2020</v>
      </c>
      <c r="H85" s="1565"/>
      <c r="I85" s="1971">
        <f>'Bilan financier'!$E$17+2</f>
        <v>2021</v>
      </c>
      <c r="J85" s="1971"/>
      <c r="K85" s="1970">
        <f>'Bilan financier'!$E$17+3</f>
        <v>2022</v>
      </c>
      <c r="L85" s="1565"/>
      <c r="M85" s="1971">
        <f>'Bilan financier'!$E$17+4</f>
        <v>2023</v>
      </c>
      <c r="N85" s="1971"/>
      <c r="O85" s="1970">
        <f>'Bilan financier'!$E$17+5</f>
        <v>2024</v>
      </c>
      <c r="P85" s="1972"/>
    </row>
    <row r="86" spans="3:16" ht="5.0999999999999996" customHeight="1">
      <c r="C86" s="141"/>
      <c r="D86" s="876"/>
      <c r="E86" s="876"/>
      <c r="F86" s="876"/>
      <c r="G86" s="876"/>
      <c r="H86" s="876"/>
      <c r="I86" s="876"/>
      <c r="J86" s="876"/>
      <c r="K86" s="876"/>
      <c r="L86" s="876"/>
      <c r="M86" s="876"/>
      <c r="N86" s="876"/>
      <c r="O86" s="143"/>
      <c r="P86" s="144"/>
    </row>
    <row r="87" spans="3:16" ht="27.95" customHeight="1">
      <c r="C87" s="1486" t="s">
        <v>696</v>
      </c>
      <c r="D87" s="1487"/>
      <c r="E87" s="1986" t="e">
        <f>'Bilan financier'!$I$30/'Bilan financier'!$E$24</f>
        <v>#DIV/0!</v>
      </c>
      <c r="F87" s="1974"/>
      <c r="G87" s="1973" t="e">
        <f>'Plan pluriannuel de financement'!C27+'Plan pluriannuel de financement'!C28/'Plan pluriannuel de financement'!C41+'Plan pluriannuel de financement'!C42</f>
        <v>#DIV/0!</v>
      </c>
      <c r="H87" s="1974"/>
      <c r="I87" s="1975" t="e">
        <f>'Plan pluriannuel de financement'!D27+'Plan pluriannuel de financement'!D28/'Plan pluriannuel de financement'!D41+'Plan pluriannuel de financement'!D42</f>
        <v>#DIV/0!</v>
      </c>
      <c r="J87" s="1976"/>
      <c r="K87" s="1975" t="e">
        <f>'Plan pluriannuel de financement'!F27+'Plan pluriannuel de financement'!F28/'Plan pluriannuel de financement'!F41+'Plan pluriannuel de financement'!F42</f>
        <v>#DIV/0!</v>
      </c>
      <c r="L87" s="1976"/>
      <c r="M87" s="1975" t="e">
        <f>'Plan pluriannuel de financement'!H27+'Plan pluriannuel de financement'!H28/'Plan pluriannuel de financement'!H41+'Plan pluriannuel de financement'!H42</f>
        <v>#DIV/0!</v>
      </c>
      <c r="N87" s="1976"/>
      <c r="O87" s="1975" t="e">
        <f>'Plan pluriannuel de financement'!J27+'Plan pluriannuel de financement'!J28/'Plan pluriannuel de financement'!J41+'Plan pluriannuel de financement'!J42</f>
        <v>#DIV/0!</v>
      </c>
      <c r="P87" s="1977"/>
    </row>
    <row r="88" spans="3:16" ht="17.25" customHeight="1" thickBot="1">
      <c r="C88" s="147"/>
      <c r="D88" s="148"/>
      <c r="E88" s="148"/>
      <c r="F88" s="148"/>
      <c r="G88" s="148"/>
      <c r="H88" s="148"/>
      <c r="I88" s="148"/>
      <c r="J88" s="148"/>
      <c r="K88" s="148"/>
      <c r="L88" s="148"/>
      <c r="M88" s="148"/>
      <c r="N88" s="148"/>
      <c r="O88" s="149"/>
      <c r="P88" s="150"/>
    </row>
    <row r="89" spans="3:16" ht="20.100000000000001" customHeight="1">
      <c r="C89" s="159"/>
      <c r="D89" s="160"/>
      <c r="E89" s="160"/>
      <c r="F89" s="160"/>
      <c r="G89" s="160"/>
      <c r="H89" s="160"/>
      <c r="I89" s="160"/>
      <c r="J89" s="160"/>
      <c r="K89" s="160"/>
      <c r="L89" s="160"/>
      <c r="M89" s="160"/>
      <c r="N89" s="160"/>
      <c r="O89" s="887"/>
      <c r="P89" s="145"/>
    </row>
    <row r="90" spans="3:16" ht="20.100000000000001" customHeight="1" thickBot="1">
      <c r="C90" s="159"/>
      <c r="D90" s="160"/>
      <c r="E90" s="160"/>
      <c r="F90" s="160"/>
      <c r="G90" s="160"/>
      <c r="H90" s="160"/>
      <c r="I90" s="160"/>
      <c r="J90" s="160"/>
      <c r="K90" s="160"/>
      <c r="L90" s="160"/>
      <c r="M90" s="160"/>
      <c r="N90" s="160"/>
      <c r="O90" s="887"/>
      <c r="P90" s="145"/>
    </row>
    <row r="91" spans="3:16">
      <c r="C91" s="697" t="s">
        <v>146</v>
      </c>
      <c r="D91" s="1462" t="s">
        <v>692</v>
      </c>
      <c r="E91" s="1463"/>
      <c r="F91" s="1463"/>
      <c r="G91" s="1463"/>
      <c r="H91" s="1463"/>
      <c r="I91" s="1463"/>
      <c r="J91" s="1463"/>
      <c r="K91" s="1463"/>
      <c r="L91" s="1463"/>
      <c r="M91" s="1463"/>
      <c r="N91" s="1463"/>
      <c r="O91" s="1463"/>
      <c r="P91" s="1464"/>
    </row>
    <row r="92" spans="3:16">
      <c r="C92" s="698" t="s">
        <v>206</v>
      </c>
      <c r="D92" s="1471" t="s">
        <v>198</v>
      </c>
      <c r="E92" s="1472"/>
      <c r="F92" s="1472"/>
      <c r="G92" s="1472"/>
      <c r="H92" s="1472"/>
      <c r="I92" s="1472"/>
      <c r="J92" s="1472"/>
      <c r="K92" s="1472"/>
      <c r="L92" s="1472"/>
      <c r="M92" s="1472"/>
      <c r="N92" s="1472"/>
      <c r="O92" s="1472"/>
      <c r="P92" s="1473"/>
    </row>
    <row r="93" spans="3:16" ht="24.95" customHeight="1">
      <c r="C93" s="699" t="s">
        <v>147</v>
      </c>
      <c r="D93" s="1483" t="s">
        <v>695</v>
      </c>
      <c r="E93" s="1484"/>
      <c r="F93" s="1484"/>
      <c r="G93" s="1484"/>
      <c r="H93" s="1484"/>
      <c r="I93" s="1484"/>
      <c r="J93" s="1484"/>
      <c r="K93" s="1484"/>
      <c r="L93" s="1484"/>
      <c r="M93" s="1484"/>
      <c r="N93" s="1484"/>
      <c r="O93" s="1484"/>
      <c r="P93" s="1485"/>
    </row>
    <row r="94" spans="3:16">
      <c r="C94" s="684" t="s">
        <v>220</v>
      </c>
      <c r="D94" s="1980" t="s">
        <v>740</v>
      </c>
      <c r="E94" s="1980"/>
      <c r="F94" s="1980"/>
      <c r="G94" s="1980"/>
      <c r="H94" s="1980"/>
      <c r="I94" s="1980"/>
      <c r="J94" s="1980"/>
      <c r="K94" s="1980"/>
      <c r="L94" s="1980"/>
      <c r="M94" s="1980"/>
      <c r="N94" s="1980"/>
      <c r="O94" s="1980"/>
      <c r="P94" s="1981"/>
    </row>
    <row r="95" spans="3:16" ht="17.25">
      <c r="C95" s="138"/>
      <c r="D95" s="139"/>
      <c r="E95" s="139"/>
      <c r="F95" s="139"/>
      <c r="G95" s="139"/>
      <c r="H95" s="139"/>
      <c r="I95" s="139"/>
      <c r="J95" s="139"/>
      <c r="K95" s="139"/>
      <c r="L95" s="139"/>
      <c r="M95" s="139"/>
      <c r="N95" s="139"/>
      <c r="O95" s="537"/>
      <c r="P95" s="538"/>
    </row>
    <row r="96" spans="3:16">
      <c r="C96" s="141"/>
      <c r="D96" s="142"/>
      <c r="E96" s="1970">
        <f>'Bilan financier'!$E$17</f>
        <v>2019</v>
      </c>
      <c r="F96" s="1565"/>
      <c r="G96" s="1970">
        <f>'Bilan financier'!$E$17+1</f>
        <v>2020</v>
      </c>
      <c r="H96" s="1565"/>
      <c r="I96" s="1971">
        <f>'Bilan financier'!$E$17+2</f>
        <v>2021</v>
      </c>
      <c r="J96" s="1971"/>
      <c r="K96" s="1970">
        <f>'Bilan financier'!$E$17+3</f>
        <v>2022</v>
      </c>
      <c r="L96" s="1565"/>
      <c r="M96" s="1971">
        <f>'Bilan financier'!$E$17+4</f>
        <v>2023</v>
      </c>
      <c r="N96" s="1971"/>
      <c r="O96" s="1970">
        <f>'Bilan financier'!$E$17+5</f>
        <v>2024</v>
      </c>
      <c r="P96" s="1972"/>
    </row>
    <row r="97" spans="3:19" ht="5.0999999999999996" customHeight="1">
      <c r="C97" s="141"/>
      <c r="D97" s="876"/>
      <c r="E97" s="876"/>
      <c r="F97" s="876"/>
      <c r="G97" s="876"/>
      <c r="H97" s="876"/>
      <c r="I97" s="876"/>
      <c r="J97" s="876"/>
      <c r="K97" s="876"/>
      <c r="L97" s="876"/>
      <c r="M97" s="876"/>
      <c r="N97" s="876"/>
      <c r="O97" s="143"/>
      <c r="P97" s="144"/>
    </row>
    <row r="98" spans="3:19" ht="27.95" customHeight="1">
      <c r="C98" s="1486" t="s">
        <v>697</v>
      </c>
      <c r="D98" s="1487"/>
      <c r="E98" s="1982" t="e">
        <f>('Bilan financier'!$I$31+'Bilan financier'!$I$32)/('Bilan financier'!$E$25+'Bilan financier'!$E$26)</f>
        <v>#DIV/0!</v>
      </c>
      <c r="F98" s="1983"/>
      <c r="G98" s="1984" t="e">
        <f>('Plan pluriannuel de financement'!C28+'Plan pluriannuel de financement'!C29+'Plan pluriannuel de financement'!C30)/('Plan pluriannuel de financement'!C42+'Plan pluriannuel de financement'!C43+'Plan pluriannuel de financement'!C44)</f>
        <v>#DIV/0!</v>
      </c>
      <c r="H98" s="1985"/>
      <c r="I98" s="1984" t="e">
        <f>('Plan pluriannuel de financement'!D28+'Plan pluriannuel de financement'!D29+'Plan pluriannuel de financement'!D30)/('Plan pluriannuel de financement'!D42+'Plan pluriannuel de financement'!D43+'Plan pluriannuel de financement'!D44)</f>
        <v>#DIV/0!</v>
      </c>
      <c r="J98" s="1985"/>
      <c r="K98" s="1984" t="e">
        <f>('Plan pluriannuel de financement'!F28+'Plan pluriannuel de financement'!F29+'Plan pluriannuel de financement'!F30)/('Plan pluriannuel de financement'!F42+'Plan pluriannuel de financement'!F43+'Plan pluriannuel de financement'!F44)</f>
        <v>#DIV/0!</v>
      </c>
      <c r="L98" s="1985"/>
      <c r="M98" s="1984" t="e">
        <f>('Plan pluriannuel de financement'!H28+'Plan pluriannuel de financement'!H29+'Plan pluriannuel de financement'!H30)/('Plan pluriannuel de financement'!H42+'Plan pluriannuel de financement'!H43+'Plan pluriannuel de financement'!H44)</f>
        <v>#DIV/0!</v>
      </c>
      <c r="N98" s="1985"/>
      <c r="O98" s="2007" t="e">
        <f>('Plan pluriannuel de financement'!J28+'Plan pluriannuel de financement'!J29+'Plan pluriannuel de financement'!J30)/('Plan pluriannuel de financement'!J42+'Plan pluriannuel de financement'!J43+'Plan pluriannuel de financement'!J44)</f>
        <v>#DIV/0!</v>
      </c>
      <c r="P98" s="2008"/>
    </row>
    <row r="99" spans="3:19" ht="17.25" thickBot="1">
      <c r="C99" s="147"/>
      <c r="D99" s="148"/>
      <c r="E99" s="148"/>
      <c r="F99" s="148"/>
      <c r="G99" s="148"/>
      <c r="H99" s="148"/>
      <c r="I99" s="148"/>
      <c r="J99" s="148"/>
      <c r="K99" s="148"/>
      <c r="L99" s="148"/>
      <c r="M99" s="148"/>
      <c r="N99" s="148"/>
      <c r="O99" s="149"/>
      <c r="P99" s="150"/>
    </row>
    <row r="100" spans="3:19" ht="20.100000000000001" customHeight="1">
      <c r="C100" s="159"/>
      <c r="D100" s="160"/>
      <c r="E100" s="160"/>
      <c r="F100" s="160"/>
      <c r="G100" s="160"/>
      <c r="H100" s="160"/>
      <c r="I100" s="160"/>
      <c r="J100" s="160"/>
      <c r="K100" s="160"/>
      <c r="L100" s="160"/>
      <c r="M100" s="160"/>
      <c r="N100" s="160"/>
      <c r="O100" s="887"/>
      <c r="P100" s="145"/>
    </row>
    <row r="101" spans="3:19" ht="20.100000000000001" customHeight="1" thickBot="1">
      <c r="C101" s="159"/>
      <c r="D101" s="160"/>
      <c r="E101" s="160"/>
      <c r="F101" s="160"/>
      <c r="G101" s="160"/>
      <c r="H101" s="160"/>
      <c r="I101" s="160"/>
      <c r="J101" s="160"/>
      <c r="K101" s="160"/>
      <c r="L101" s="160"/>
      <c r="M101" s="160"/>
      <c r="N101" s="160"/>
      <c r="O101" s="887"/>
      <c r="P101" s="145"/>
    </row>
    <row r="102" spans="3:19">
      <c r="C102" s="539" t="s">
        <v>146</v>
      </c>
      <c r="D102" s="1462" t="s">
        <v>595</v>
      </c>
      <c r="E102" s="1463"/>
      <c r="F102" s="1463"/>
      <c r="G102" s="1463"/>
      <c r="H102" s="1463"/>
      <c r="I102" s="1463"/>
      <c r="J102" s="1463"/>
      <c r="K102" s="1463"/>
      <c r="L102" s="1463"/>
      <c r="M102" s="1463"/>
      <c r="N102" s="1463"/>
      <c r="O102" s="1463"/>
      <c r="P102" s="1464"/>
    </row>
    <row r="103" spans="3:19">
      <c r="C103" s="540" t="s">
        <v>206</v>
      </c>
      <c r="D103" s="1471" t="s">
        <v>596</v>
      </c>
      <c r="E103" s="1472"/>
      <c r="F103" s="1472"/>
      <c r="G103" s="1472"/>
      <c r="H103" s="1472"/>
      <c r="I103" s="1472"/>
      <c r="J103" s="1472"/>
      <c r="K103" s="1472"/>
      <c r="L103" s="1472"/>
      <c r="M103" s="1472"/>
      <c r="N103" s="1472"/>
      <c r="O103" s="1472"/>
      <c r="P103" s="1473"/>
    </row>
    <row r="104" spans="3:19" ht="24.95" customHeight="1">
      <c r="C104" s="541" t="s">
        <v>147</v>
      </c>
      <c r="D104" s="1995" t="s">
        <v>668</v>
      </c>
      <c r="E104" s="1996"/>
      <c r="F104" s="1996"/>
      <c r="G104" s="1996"/>
      <c r="H104" s="1996"/>
      <c r="I104" s="1996"/>
      <c r="J104" s="1996"/>
      <c r="K104" s="1996"/>
      <c r="L104" s="1996"/>
      <c r="M104" s="1996"/>
      <c r="N104" s="1996"/>
      <c r="O104" s="1996"/>
      <c r="P104" s="1997"/>
    </row>
    <row r="105" spans="3:19">
      <c r="C105" s="204" t="s">
        <v>220</v>
      </c>
      <c r="D105" s="1998" t="s">
        <v>601</v>
      </c>
      <c r="E105" s="1998"/>
      <c r="F105" s="1998"/>
      <c r="G105" s="1998"/>
      <c r="H105" s="1998"/>
      <c r="I105" s="1998"/>
      <c r="J105" s="1998"/>
      <c r="K105" s="1998"/>
      <c r="L105" s="1998"/>
      <c r="M105" s="1998"/>
      <c r="N105" s="1998"/>
      <c r="O105" s="1998"/>
      <c r="P105" s="1999"/>
    </row>
    <row r="106" spans="3:19" ht="17.25" customHeight="1">
      <c r="C106" s="138"/>
      <c r="D106" s="139"/>
      <c r="E106" s="139"/>
      <c r="F106" s="139"/>
      <c r="G106" s="139"/>
      <c r="H106" s="139"/>
      <c r="I106" s="139"/>
      <c r="J106" s="139"/>
      <c r="K106" s="139"/>
      <c r="L106" s="139"/>
      <c r="M106" s="139"/>
      <c r="N106" s="139"/>
      <c r="O106" s="537"/>
      <c r="P106" s="538"/>
    </row>
    <row r="107" spans="3:19">
      <c r="C107" s="141"/>
      <c r="D107" s="142"/>
      <c r="E107" s="1970">
        <f>'Bilan financier'!$E$17</f>
        <v>2019</v>
      </c>
      <c r="F107" s="1565"/>
      <c r="G107" s="1970">
        <f>'Bilan financier'!$E$17+1</f>
        <v>2020</v>
      </c>
      <c r="H107" s="1565"/>
      <c r="I107" s="1971">
        <f>'Bilan financier'!$E$17+2</f>
        <v>2021</v>
      </c>
      <c r="J107" s="1971"/>
      <c r="K107" s="1970">
        <f>'Bilan financier'!$E$17+3</f>
        <v>2022</v>
      </c>
      <c r="L107" s="1565"/>
      <c r="M107" s="1971">
        <f>'Bilan financier'!$E$17+4</f>
        <v>2023</v>
      </c>
      <c r="N107" s="1971"/>
      <c r="O107" s="1970">
        <f>'Bilan financier'!$E$17+5</f>
        <v>2024</v>
      </c>
      <c r="P107" s="1972"/>
    </row>
    <row r="108" spans="3:19" ht="5.0999999999999996" customHeight="1">
      <c r="C108" s="141"/>
      <c r="D108" s="876"/>
      <c r="E108" s="876"/>
      <c r="F108" s="876"/>
      <c r="G108" s="876"/>
      <c r="H108" s="876"/>
      <c r="I108" s="876"/>
      <c r="J108" s="876"/>
      <c r="K108" s="876"/>
      <c r="L108" s="876"/>
      <c r="M108" s="876"/>
      <c r="N108" s="876"/>
      <c r="O108" s="143"/>
      <c r="P108" s="144"/>
    </row>
    <row r="109" spans="3:19" ht="27.95" customHeight="1">
      <c r="C109" s="590" t="s">
        <v>597</v>
      </c>
      <c r="D109" s="857"/>
      <c r="E109" s="1993">
        <f>IF('Cptes de résultat prévisionnels'!$G$34&lt;&gt;0,'Cptes de résultat prévisionnels'!$G$34,'Cptes de résultat prévisionnels'!$S$36)</f>
        <v>0</v>
      </c>
      <c r="F109" s="2012"/>
      <c r="G109" s="1993">
        <f>IF('Cptes de résultat prévisionnels'!$H$34&lt;&gt;0,'Cptes de résultat prévisionnels'!$H$34,'Cptes de résultat prévisionnels'!$T$36)</f>
        <v>0</v>
      </c>
      <c r="H109" s="2012"/>
      <c r="I109" s="1993">
        <f>IF('Cptes de résultat prévisionnels'!$I$34&lt;&gt;0,'Cptes de résultat prévisionnels'!$I$34,'Cptes de résultat prévisionnels'!$U$36)</f>
        <v>0</v>
      </c>
      <c r="J109" s="2012"/>
      <c r="K109" s="1993">
        <f>IF('Cptes de résultat prévisionnels'!$J$34&lt;&gt;0,'Cptes de résultat prévisionnels'!$J$34,'Cptes de résultat prévisionnels'!$V$36)</f>
        <v>0</v>
      </c>
      <c r="L109" s="2012"/>
      <c r="M109" s="1993">
        <f>IF('Cptes de résultat prévisionnels'!$K$34&lt;&gt;0,'Cptes de résultat prévisionnels'!$K$34,'Cptes de résultat prévisionnels'!$W$36)</f>
        <v>0</v>
      </c>
      <c r="N109" s="2012"/>
      <c r="O109" s="1993">
        <f>IF('Cptes de résultat prévisionnels'!$L$34&lt;&gt;0,'Cptes de résultat prévisionnels'!$L$34,'Cptes de résultat prévisionnels'!$X$36)</f>
        <v>0</v>
      </c>
      <c r="P109" s="1994"/>
    </row>
    <row r="110" spans="3:19" ht="27.95" customHeight="1">
      <c r="C110" s="2003" t="s">
        <v>671</v>
      </c>
      <c r="D110" s="2004"/>
      <c r="E110" s="2009" t="e">
        <f>($E$109-CAF!$I$10)/CAF!$I$10</f>
        <v>#DIV/0!</v>
      </c>
      <c r="F110" s="2010"/>
      <c r="G110" s="2009" t="e">
        <f>($G$109-$E$109)/$E$109</f>
        <v>#DIV/0!</v>
      </c>
      <c r="H110" s="2010"/>
      <c r="I110" s="2009" t="e">
        <f>($I$109-$G$109)/$G$109</f>
        <v>#DIV/0!</v>
      </c>
      <c r="J110" s="2010"/>
      <c r="K110" s="2009" t="e">
        <f>($K$109-$I$109)/$I$109</f>
        <v>#DIV/0!</v>
      </c>
      <c r="L110" s="2010"/>
      <c r="M110" s="2009" t="e">
        <f>($M$109-$K$109)/$K$109</f>
        <v>#DIV/0!</v>
      </c>
      <c r="N110" s="2010"/>
      <c r="O110" s="2009" t="e">
        <f>($O$109-$M$109)/$M$109</f>
        <v>#DIV/0!</v>
      </c>
      <c r="P110" s="2011"/>
    </row>
    <row r="111" spans="3:19" ht="17.25" thickBot="1">
      <c r="C111" s="147"/>
      <c r="D111" s="148"/>
      <c r="E111" s="148"/>
      <c r="F111" s="148"/>
      <c r="G111" s="148"/>
      <c r="H111" s="148"/>
      <c r="I111" s="148"/>
      <c r="J111" s="148"/>
      <c r="K111" s="148"/>
      <c r="L111" s="148"/>
      <c r="M111" s="148"/>
      <c r="N111" s="148"/>
      <c r="O111" s="149"/>
      <c r="P111" s="150"/>
    </row>
    <row r="112" spans="3:19">
      <c r="C112" s="613"/>
      <c r="D112" s="614"/>
      <c r="E112" s="614"/>
      <c r="F112" s="614"/>
      <c r="G112" s="618"/>
      <c r="H112" s="614"/>
      <c r="I112" s="614"/>
      <c r="J112" s="614"/>
      <c r="K112" s="614"/>
      <c r="L112" s="614"/>
      <c r="M112" s="614"/>
      <c r="N112" s="614"/>
      <c r="O112" s="615"/>
      <c r="P112" s="616"/>
      <c r="S112" s="655"/>
    </row>
    <row r="113" spans="2:16">
      <c r="B113" s="120"/>
      <c r="C113" s="120"/>
      <c r="D113" s="120"/>
      <c r="E113" s="120"/>
      <c r="F113" s="120"/>
      <c r="G113" s="120"/>
      <c r="H113" s="120"/>
      <c r="I113" s="120"/>
      <c r="J113" s="120"/>
      <c r="K113" s="120"/>
      <c r="L113" s="120"/>
      <c r="M113" s="120"/>
      <c r="N113" s="120"/>
      <c r="O113" s="120"/>
      <c r="P113" s="120"/>
    </row>
    <row r="114" spans="2:16">
      <c r="B114" s="120"/>
      <c r="C114" s="120"/>
      <c r="D114" s="120"/>
      <c r="E114" s="120"/>
      <c r="F114" s="120"/>
      <c r="G114" s="120"/>
      <c r="H114" s="120"/>
      <c r="I114" s="120"/>
      <c r="J114" s="120"/>
      <c r="K114" s="120"/>
      <c r="L114" s="120"/>
      <c r="M114" s="120"/>
      <c r="N114" s="120"/>
      <c r="O114" s="120"/>
      <c r="P114" s="120"/>
    </row>
    <row r="115" spans="2:16">
      <c r="B115" s="120"/>
      <c r="C115" s="120"/>
      <c r="D115" s="120"/>
      <c r="E115" s="120"/>
      <c r="F115" s="120"/>
      <c r="G115" s="120"/>
      <c r="H115" s="120"/>
      <c r="I115" s="120"/>
      <c r="J115" s="120"/>
      <c r="K115" s="120"/>
      <c r="L115" s="120"/>
      <c r="M115" s="120"/>
      <c r="N115" s="120"/>
      <c r="O115" s="120"/>
      <c r="P115" s="120"/>
    </row>
    <row r="116" spans="2:16">
      <c r="C116" s="133"/>
      <c r="D116" s="133"/>
      <c r="E116" s="133"/>
      <c r="F116" s="133"/>
      <c r="G116" s="133"/>
      <c r="H116" s="133"/>
      <c r="I116" s="133"/>
      <c r="J116" s="133"/>
      <c r="K116" s="133"/>
      <c r="L116" s="133"/>
      <c r="M116" s="133"/>
      <c r="N116" s="133"/>
      <c r="O116" s="133"/>
      <c r="P116" s="133"/>
    </row>
    <row r="117" spans="2:16">
      <c r="C117" s="133"/>
      <c r="D117" s="133"/>
      <c r="E117" s="133"/>
      <c r="F117" s="133"/>
      <c r="G117" s="133"/>
      <c r="H117" s="133"/>
      <c r="I117" s="133"/>
      <c r="J117" s="133"/>
      <c r="K117" s="133"/>
      <c r="L117" s="133"/>
      <c r="M117" s="133"/>
      <c r="N117" s="133"/>
      <c r="O117" s="133"/>
      <c r="P117" s="133"/>
    </row>
    <row r="118" spans="2:16">
      <c r="C118" s="133"/>
      <c r="D118" s="133"/>
      <c r="E118" s="133"/>
      <c r="F118" s="133"/>
      <c r="G118" s="133"/>
      <c r="H118" s="133"/>
      <c r="I118" s="133"/>
      <c r="J118" s="133"/>
      <c r="K118" s="133"/>
      <c r="L118" s="133"/>
      <c r="M118" s="133"/>
      <c r="N118" s="133"/>
      <c r="O118" s="133"/>
      <c r="P118" s="133"/>
    </row>
    <row r="119" spans="2:16">
      <c r="C119" s="133"/>
      <c r="D119" s="133"/>
      <c r="E119" s="133"/>
      <c r="F119" s="133"/>
      <c r="G119" s="133"/>
      <c r="H119" s="133"/>
      <c r="I119" s="133"/>
      <c r="J119" s="133"/>
      <c r="K119" s="133"/>
      <c r="L119" s="133"/>
      <c r="M119" s="133"/>
      <c r="N119" s="133"/>
      <c r="O119" s="133"/>
      <c r="P119" s="133"/>
    </row>
    <row r="120" spans="2:16">
      <c r="C120" s="133"/>
      <c r="D120" s="133"/>
      <c r="E120" s="133"/>
      <c r="F120" s="133"/>
      <c r="G120" s="133"/>
      <c r="H120" s="133"/>
      <c r="I120" s="133"/>
      <c r="J120" s="133"/>
      <c r="K120" s="133"/>
      <c r="L120" s="133"/>
      <c r="M120" s="133"/>
      <c r="N120" s="133"/>
      <c r="O120" s="133"/>
      <c r="P120" s="133"/>
    </row>
    <row r="121" spans="2:16">
      <c r="C121" s="133"/>
      <c r="D121" s="133"/>
      <c r="E121" s="133"/>
      <c r="F121" s="133"/>
      <c r="G121" s="133"/>
      <c r="H121" s="133"/>
      <c r="I121" s="133"/>
      <c r="J121" s="133"/>
      <c r="K121" s="133"/>
      <c r="L121" s="133"/>
      <c r="M121" s="133"/>
      <c r="N121" s="133"/>
      <c r="O121" s="133"/>
      <c r="P121" s="133"/>
    </row>
    <row r="122" spans="2:16">
      <c r="C122" s="133"/>
      <c r="D122" s="133"/>
      <c r="E122" s="133"/>
      <c r="F122" s="133"/>
      <c r="G122" s="133"/>
      <c r="H122" s="133"/>
      <c r="I122" s="133"/>
      <c r="J122" s="133"/>
      <c r="K122" s="133"/>
      <c r="L122" s="133"/>
      <c r="M122" s="133"/>
      <c r="N122" s="133"/>
      <c r="O122" s="133"/>
      <c r="P122" s="133"/>
    </row>
    <row r="123" spans="2:16">
      <c r="C123" s="133"/>
      <c r="D123" s="133"/>
      <c r="E123" s="133"/>
      <c r="F123" s="133"/>
      <c r="G123" s="133"/>
      <c r="H123" s="133"/>
      <c r="I123" s="133"/>
      <c r="J123" s="133"/>
      <c r="K123" s="133"/>
      <c r="L123" s="133"/>
      <c r="M123" s="133"/>
      <c r="N123" s="133"/>
      <c r="O123" s="133"/>
      <c r="P123" s="133"/>
    </row>
    <row r="124" spans="2:16">
      <c r="C124" s="133"/>
      <c r="D124" s="133"/>
      <c r="E124" s="133"/>
      <c r="F124" s="133"/>
      <c r="G124" s="133"/>
      <c r="H124" s="133"/>
      <c r="I124" s="133"/>
      <c r="J124" s="133"/>
      <c r="K124" s="133"/>
      <c r="L124" s="133"/>
      <c r="M124" s="133"/>
      <c r="N124" s="133"/>
      <c r="O124" s="133"/>
      <c r="P124" s="133"/>
    </row>
    <row r="125" spans="2:16">
      <c r="C125" s="133"/>
      <c r="D125" s="133"/>
      <c r="E125" s="133"/>
      <c r="F125" s="133"/>
      <c r="G125" s="133"/>
      <c r="H125" s="133"/>
      <c r="I125" s="133"/>
      <c r="J125" s="133"/>
      <c r="K125" s="133"/>
      <c r="L125" s="133"/>
      <c r="M125" s="133"/>
      <c r="N125" s="133"/>
      <c r="O125" s="133"/>
      <c r="P125" s="133"/>
    </row>
    <row r="126" spans="2:16">
      <c r="C126" s="133"/>
      <c r="D126" s="133"/>
      <c r="E126" s="133"/>
      <c r="F126" s="133"/>
      <c r="G126" s="133"/>
      <c r="H126" s="133"/>
      <c r="I126" s="133"/>
      <c r="J126" s="133"/>
      <c r="K126" s="133"/>
      <c r="L126" s="133"/>
      <c r="M126" s="133"/>
      <c r="N126" s="133"/>
      <c r="O126" s="133"/>
      <c r="P126" s="133"/>
    </row>
    <row r="127" spans="2:16">
      <c r="C127" s="133"/>
      <c r="D127" s="133"/>
      <c r="E127" s="133"/>
      <c r="F127" s="133"/>
      <c r="G127" s="133"/>
      <c r="H127" s="133"/>
      <c r="I127" s="133"/>
      <c r="J127" s="133"/>
      <c r="K127" s="133"/>
      <c r="L127" s="133"/>
      <c r="M127" s="133"/>
      <c r="N127" s="133"/>
      <c r="O127" s="133"/>
      <c r="P127" s="133"/>
    </row>
    <row r="128" spans="2:16">
      <c r="C128" s="133"/>
      <c r="D128" s="133"/>
      <c r="E128" s="133"/>
      <c r="F128" s="133"/>
      <c r="G128" s="133"/>
      <c r="H128" s="133"/>
      <c r="I128" s="133"/>
      <c r="J128" s="133"/>
      <c r="K128" s="133"/>
      <c r="L128" s="133"/>
      <c r="M128" s="133"/>
      <c r="N128" s="133"/>
      <c r="O128" s="133"/>
      <c r="P128" s="133"/>
    </row>
    <row r="129" spans="3:16">
      <c r="C129" s="133"/>
      <c r="D129" s="133"/>
      <c r="E129" s="133"/>
      <c r="F129" s="133"/>
      <c r="G129" s="133"/>
      <c r="H129" s="133"/>
      <c r="I129" s="133"/>
      <c r="J129" s="133"/>
      <c r="K129" s="133"/>
      <c r="L129" s="133"/>
      <c r="M129" s="133"/>
      <c r="N129" s="133"/>
      <c r="O129" s="133"/>
      <c r="P129" s="133"/>
    </row>
    <row r="130" spans="3:16">
      <c r="C130" s="133"/>
      <c r="D130" s="133"/>
      <c r="E130" s="133"/>
      <c r="F130" s="133"/>
      <c r="G130" s="133"/>
      <c r="H130" s="133"/>
      <c r="I130" s="133"/>
      <c r="J130" s="133"/>
      <c r="K130" s="133"/>
      <c r="L130" s="133"/>
      <c r="M130" s="133"/>
      <c r="N130" s="133"/>
      <c r="O130" s="133"/>
      <c r="P130" s="133"/>
    </row>
    <row r="131" spans="3:16">
      <c r="C131" s="133"/>
      <c r="D131" s="133"/>
      <c r="E131" s="133"/>
      <c r="F131" s="133"/>
      <c r="G131" s="133"/>
      <c r="H131" s="133"/>
      <c r="I131" s="133"/>
      <c r="J131" s="133"/>
      <c r="K131" s="133"/>
      <c r="L131" s="133"/>
      <c r="M131" s="133"/>
      <c r="N131" s="133"/>
      <c r="O131" s="133"/>
      <c r="P131" s="133"/>
    </row>
    <row r="132" spans="3:16">
      <c r="C132" s="133"/>
      <c r="D132" s="133"/>
      <c r="E132" s="133"/>
      <c r="F132" s="133"/>
      <c r="G132" s="133"/>
      <c r="H132" s="133"/>
      <c r="I132" s="133"/>
      <c r="J132" s="133"/>
      <c r="K132" s="133"/>
      <c r="L132" s="133"/>
      <c r="M132" s="133"/>
      <c r="N132" s="133"/>
      <c r="O132" s="133"/>
      <c r="P132" s="133"/>
    </row>
    <row r="133" spans="3:16">
      <c r="C133" s="133"/>
      <c r="D133" s="133"/>
      <c r="E133" s="133"/>
      <c r="F133" s="133"/>
      <c r="G133" s="133"/>
      <c r="H133" s="133"/>
      <c r="I133" s="133"/>
      <c r="J133" s="133"/>
      <c r="K133" s="133"/>
      <c r="L133" s="133"/>
      <c r="M133" s="133"/>
      <c r="N133" s="133"/>
      <c r="O133" s="133"/>
      <c r="P133" s="133"/>
    </row>
    <row r="134" spans="3:16">
      <c r="C134" s="133"/>
      <c r="D134" s="133"/>
      <c r="E134" s="133"/>
      <c r="F134" s="133"/>
      <c r="G134" s="133"/>
      <c r="H134" s="133"/>
      <c r="I134" s="133"/>
      <c r="J134" s="133"/>
      <c r="K134" s="133"/>
      <c r="L134" s="133"/>
      <c r="M134" s="133"/>
      <c r="N134" s="133"/>
      <c r="O134" s="133"/>
      <c r="P134" s="133"/>
    </row>
    <row r="135" spans="3:16">
      <c r="C135" s="133"/>
      <c r="D135" s="133"/>
      <c r="E135" s="133"/>
      <c r="F135" s="133"/>
      <c r="G135" s="133"/>
      <c r="H135" s="133"/>
      <c r="I135" s="133"/>
      <c r="J135" s="133"/>
      <c r="K135" s="133"/>
      <c r="L135" s="133"/>
      <c r="M135" s="133"/>
      <c r="N135" s="133"/>
      <c r="O135" s="133"/>
      <c r="P135" s="133"/>
    </row>
    <row r="136" spans="3:16">
      <c r="C136" s="133"/>
      <c r="D136" s="133"/>
      <c r="E136" s="133"/>
      <c r="F136" s="133"/>
      <c r="G136" s="133"/>
      <c r="H136" s="133"/>
      <c r="I136" s="133"/>
      <c r="J136" s="133"/>
      <c r="K136" s="133"/>
      <c r="L136" s="133"/>
      <c r="M136" s="133"/>
      <c r="N136" s="133"/>
      <c r="O136" s="133"/>
      <c r="P136" s="133"/>
    </row>
    <row r="137" spans="3:16">
      <c r="C137" s="133"/>
      <c r="D137" s="133"/>
      <c r="E137" s="133"/>
      <c r="F137" s="133"/>
      <c r="G137" s="133"/>
      <c r="H137" s="133"/>
      <c r="I137" s="133"/>
      <c r="J137" s="133"/>
      <c r="K137" s="133"/>
      <c r="L137" s="133"/>
      <c r="M137" s="133"/>
      <c r="N137" s="133"/>
      <c r="O137" s="133"/>
      <c r="P137" s="133"/>
    </row>
    <row r="138" spans="3:16">
      <c r="C138" s="133"/>
      <c r="D138" s="133"/>
      <c r="E138" s="133"/>
      <c r="F138" s="133"/>
      <c r="G138" s="133"/>
      <c r="H138" s="133"/>
      <c r="I138" s="133"/>
      <c r="J138" s="133"/>
      <c r="K138" s="133"/>
      <c r="L138" s="133"/>
      <c r="M138" s="133"/>
      <c r="N138" s="133"/>
      <c r="O138" s="133"/>
      <c r="P138" s="133"/>
    </row>
    <row r="139" spans="3:16">
      <c r="C139" s="133"/>
      <c r="D139" s="133"/>
      <c r="E139" s="133"/>
      <c r="F139" s="133"/>
      <c r="G139" s="133"/>
      <c r="H139" s="133"/>
      <c r="I139" s="133"/>
      <c r="J139" s="133"/>
      <c r="K139" s="133"/>
      <c r="L139" s="133"/>
      <c r="M139" s="133"/>
      <c r="N139" s="133"/>
      <c r="O139" s="133"/>
      <c r="P139" s="133"/>
    </row>
    <row r="140" spans="3:16">
      <c r="C140" s="133"/>
      <c r="D140" s="133"/>
      <c r="E140" s="133"/>
      <c r="F140" s="133"/>
      <c r="G140" s="133"/>
      <c r="H140" s="133"/>
      <c r="I140" s="133"/>
      <c r="J140" s="133"/>
      <c r="K140" s="133"/>
      <c r="L140" s="133"/>
      <c r="M140" s="133"/>
      <c r="N140" s="133"/>
      <c r="O140" s="133"/>
      <c r="P140" s="133"/>
    </row>
    <row r="141" spans="3:16">
      <c r="C141" s="133"/>
      <c r="D141" s="133"/>
      <c r="E141" s="133"/>
      <c r="F141" s="133"/>
      <c r="G141" s="133"/>
      <c r="H141" s="133"/>
      <c r="I141" s="133"/>
      <c r="J141" s="133"/>
      <c r="K141" s="133"/>
      <c r="L141" s="133"/>
      <c r="M141" s="133"/>
      <c r="N141" s="133"/>
      <c r="O141" s="133"/>
      <c r="P141" s="133"/>
    </row>
    <row r="142" spans="3:16">
      <c r="C142" s="133"/>
      <c r="D142" s="133"/>
      <c r="E142" s="133"/>
      <c r="F142" s="133"/>
      <c r="G142" s="133"/>
      <c r="H142" s="133"/>
      <c r="I142" s="133"/>
      <c r="J142" s="133"/>
      <c r="K142" s="133"/>
      <c r="L142" s="133"/>
      <c r="M142" s="133"/>
      <c r="N142" s="133"/>
      <c r="O142" s="133"/>
      <c r="P142" s="133"/>
    </row>
    <row r="143" spans="3:16">
      <c r="C143" s="133"/>
      <c r="D143" s="133"/>
      <c r="E143" s="133"/>
      <c r="F143" s="133"/>
      <c r="G143" s="133"/>
      <c r="H143" s="133"/>
      <c r="I143" s="133"/>
      <c r="J143" s="133"/>
      <c r="K143" s="133"/>
      <c r="L143" s="133"/>
      <c r="M143" s="133"/>
      <c r="N143" s="133"/>
      <c r="O143" s="133"/>
      <c r="P143" s="133"/>
    </row>
    <row r="144" spans="3:16">
      <c r="C144" s="133"/>
      <c r="D144" s="133"/>
      <c r="E144" s="133"/>
      <c r="F144" s="133"/>
      <c r="G144" s="133"/>
      <c r="H144" s="133"/>
      <c r="I144" s="133"/>
      <c r="J144" s="133"/>
      <c r="K144" s="133"/>
      <c r="L144" s="133"/>
      <c r="M144" s="133"/>
      <c r="N144" s="133"/>
      <c r="O144" s="133"/>
      <c r="P144" s="133"/>
    </row>
    <row r="145" spans="3:16">
      <c r="C145" s="133"/>
      <c r="D145" s="133"/>
      <c r="E145" s="133"/>
      <c r="F145" s="133"/>
      <c r="G145" s="133"/>
      <c r="H145" s="133"/>
      <c r="I145" s="133"/>
      <c r="J145" s="133"/>
      <c r="K145" s="133"/>
      <c r="L145" s="133"/>
      <c r="M145" s="133"/>
      <c r="N145" s="133"/>
      <c r="O145" s="133"/>
      <c r="P145" s="133"/>
    </row>
    <row r="146" spans="3:16">
      <c r="C146" s="133"/>
      <c r="D146" s="133"/>
      <c r="E146" s="133"/>
      <c r="F146" s="133"/>
      <c r="G146" s="133"/>
      <c r="H146" s="133"/>
      <c r="I146" s="133"/>
      <c r="J146" s="133"/>
      <c r="K146" s="133"/>
      <c r="L146" s="133"/>
      <c r="M146" s="133"/>
      <c r="N146" s="133"/>
      <c r="O146" s="133"/>
      <c r="P146" s="133"/>
    </row>
    <row r="147" spans="3:16">
      <c r="C147" s="133"/>
      <c r="D147" s="133"/>
      <c r="E147" s="133"/>
      <c r="F147" s="133"/>
      <c r="G147" s="133"/>
      <c r="H147" s="133"/>
      <c r="I147" s="133"/>
      <c r="J147" s="133"/>
      <c r="K147" s="133"/>
      <c r="L147" s="133"/>
      <c r="M147" s="133"/>
      <c r="N147" s="133"/>
      <c r="O147" s="133"/>
      <c r="P147" s="133"/>
    </row>
    <row r="148" spans="3:16">
      <c r="C148" s="133"/>
      <c r="D148" s="133"/>
      <c r="E148" s="133"/>
      <c r="F148" s="133"/>
      <c r="G148" s="133"/>
      <c r="H148" s="133"/>
      <c r="I148" s="133"/>
      <c r="J148" s="133"/>
      <c r="K148" s="133"/>
      <c r="L148" s="133"/>
      <c r="M148" s="133"/>
      <c r="N148" s="133"/>
      <c r="O148" s="133"/>
      <c r="P148" s="133"/>
    </row>
    <row r="149" spans="3:16">
      <c r="C149" s="133"/>
      <c r="D149" s="133"/>
      <c r="E149" s="133"/>
      <c r="F149" s="133"/>
      <c r="G149" s="133"/>
      <c r="H149" s="133"/>
      <c r="I149" s="133"/>
      <c r="J149" s="133"/>
      <c r="K149" s="133"/>
      <c r="L149" s="133"/>
      <c r="M149" s="133"/>
      <c r="N149" s="133"/>
      <c r="O149" s="133"/>
      <c r="P149" s="133"/>
    </row>
    <row r="150" spans="3:16">
      <c r="C150" s="133"/>
      <c r="D150" s="133"/>
      <c r="E150" s="133"/>
      <c r="F150" s="133"/>
      <c r="G150" s="133"/>
      <c r="H150" s="133"/>
      <c r="I150" s="133"/>
      <c r="J150" s="133"/>
      <c r="K150" s="133"/>
      <c r="L150" s="133"/>
      <c r="M150" s="133"/>
      <c r="N150" s="133"/>
      <c r="O150" s="133"/>
      <c r="P150" s="133"/>
    </row>
    <row r="151" spans="3:16">
      <c r="C151" s="133"/>
      <c r="D151" s="133"/>
      <c r="E151" s="133"/>
      <c r="F151" s="133"/>
      <c r="G151" s="133"/>
      <c r="H151" s="133"/>
      <c r="I151" s="133"/>
      <c r="J151" s="133"/>
      <c r="K151" s="133"/>
      <c r="L151" s="133"/>
      <c r="M151" s="133"/>
      <c r="N151" s="133"/>
      <c r="O151" s="133"/>
      <c r="P151" s="133"/>
    </row>
    <row r="152" spans="3:16">
      <c r="C152" s="133"/>
      <c r="D152" s="133"/>
      <c r="E152" s="133"/>
      <c r="F152" s="133"/>
      <c r="G152" s="133"/>
      <c r="H152" s="133"/>
      <c r="I152" s="133"/>
      <c r="J152" s="133"/>
      <c r="K152" s="133"/>
      <c r="L152" s="133"/>
      <c r="M152" s="133"/>
      <c r="N152" s="133"/>
      <c r="O152" s="133"/>
      <c r="P152" s="133"/>
    </row>
    <row r="153" spans="3:16">
      <c r="C153" s="133"/>
      <c r="D153" s="133"/>
      <c r="E153" s="133"/>
      <c r="F153" s="133"/>
      <c r="G153" s="133"/>
      <c r="H153" s="133"/>
      <c r="I153" s="133"/>
      <c r="J153" s="133"/>
      <c r="K153" s="133"/>
      <c r="L153" s="133"/>
      <c r="M153" s="133"/>
      <c r="N153" s="133"/>
      <c r="O153" s="133"/>
      <c r="P153" s="133"/>
    </row>
    <row r="154" spans="3:16">
      <c r="C154" s="133"/>
      <c r="D154" s="133"/>
      <c r="E154" s="133"/>
      <c r="F154" s="133"/>
      <c r="G154" s="133"/>
      <c r="H154" s="133"/>
      <c r="I154" s="133"/>
      <c r="J154" s="133"/>
      <c r="K154" s="133"/>
      <c r="L154" s="133"/>
      <c r="M154" s="133"/>
      <c r="N154" s="133"/>
      <c r="O154" s="133"/>
      <c r="P154" s="133"/>
    </row>
    <row r="155" spans="3:16">
      <c r="C155" s="133"/>
      <c r="D155" s="133"/>
      <c r="E155" s="133"/>
      <c r="F155" s="133"/>
      <c r="G155" s="133"/>
      <c r="H155" s="133"/>
      <c r="I155" s="133"/>
      <c r="J155" s="133"/>
      <c r="K155" s="133"/>
      <c r="L155" s="133"/>
      <c r="M155" s="133"/>
      <c r="N155" s="133"/>
      <c r="O155" s="133"/>
      <c r="P155" s="133"/>
    </row>
    <row r="156" spans="3:16">
      <c r="C156" s="133"/>
      <c r="D156" s="133"/>
      <c r="E156" s="133"/>
      <c r="F156" s="133"/>
      <c r="G156" s="133"/>
      <c r="H156" s="133"/>
      <c r="I156" s="133"/>
      <c r="J156" s="133"/>
      <c r="K156" s="133"/>
      <c r="L156" s="133"/>
      <c r="M156" s="133"/>
      <c r="N156" s="133"/>
      <c r="O156" s="133"/>
      <c r="P156" s="133"/>
    </row>
    <row r="157" spans="3:16">
      <c r="C157" s="133"/>
      <c r="D157" s="133"/>
      <c r="E157" s="133"/>
      <c r="F157" s="133"/>
      <c r="G157" s="133"/>
      <c r="H157" s="133"/>
      <c r="I157" s="133"/>
      <c r="J157" s="133"/>
      <c r="K157" s="133"/>
      <c r="L157" s="133"/>
      <c r="M157" s="133"/>
      <c r="N157" s="133"/>
      <c r="O157" s="133"/>
      <c r="P157" s="133"/>
    </row>
    <row r="158" spans="3:16">
      <c r="C158" s="133"/>
      <c r="D158" s="133"/>
      <c r="E158" s="133"/>
      <c r="F158" s="133"/>
      <c r="G158" s="133"/>
      <c r="H158" s="133"/>
      <c r="I158" s="133"/>
      <c r="J158" s="133"/>
      <c r="K158" s="133"/>
      <c r="L158" s="133"/>
      <c r="M158" s="133"/>
      <c r="N158" s="133"/>
      <c r="O158" s="133"/>
      <c r="P158" s="133"/>
    </row>
    <row r="159" spans="3:16">
      <c r="C159" s="133"/>
      <c r="D159" s="133"/>
      <c r="E159" s="133"/>
      <c r="F159" s="133"/>
      <c r="G159" s="133"/>
      <c r="H159" s="133"/>
      <c r="I159" s="133"/>
      <c r="J159" s="133"/>
      <c r="K159" s="133"/>
      <c r="L159" s="133"/>
      <c r="M159" s="133"/>
      <c r="N159" s="133"/>
      <c r="O159" s="133"/>
      <c r="P159" s="133"/>
    </row>
    <row r="160" spans="3:16">
      <c r="C160" s="133"/>
      <c r="D160" s="133"/>
      <c r="E160" s="133"/>
      <c r="F160" s="133"/>
      <c r="G160" s="133"/>
      <c r="H160" s="133"/>
      <c r="I160" s="133"/>
      <c r="J160" s="133"/>
      <c r="K160" s="133"/>
      <c r="L160" s="133"/>
      <c r="M160" s="133"/>
      <c r="N160" s="133"/>
      <c r="O160" s="133"/>
      <c r="P160" s="133"/>
    </row>
    <row r="161" spans="3:16">
      <c r="C161" s="133"/>
      <c r="D161" s="133"/>
      <c r="E161" s="133"/>
      <c r="F161" s="133"/>
      <c r="G161" s="133"/>
      <c r="H161" s="133"/>
      <c r="I161" s="133"/>
      <c r="J161" s="133"/>
      <c r="K161" s="133"/>
      <c r="L161" s="133"/>
      <c r="M161" s="133"/>
      <c r="N161" s="133"/>
      <c r="O161" s="133"/>
      <c r="P161" s="133"/>
    </row>
    <row r="162" spans="3:16">
      <c r="C162" s="133"/>
      <c r="D162" s="133"/>
      <c r="E162" s="133"/>
      <c r="F162" s="133"/>
      <c r="G162" s="133"/>
      <c r="H162" s="133"/>
      <c r="I162" s="133"/>
      <c r="J162" s="133"/>
      <c r="K162" s="133"/>
      <c r="L162" s="133"/>
      <c r="M162" s="133"/>
      <c r="N162" s="133"/>
      <c r="O162" s="133"/>
      <c r="P162" s="133"/>
    </row>
    <row r="163" spans="3:16">
      <c r="C163" s="133"/>
      <c r="D163" s="133"/>
      <c r="E163" s="133"/>
      <c r="F163" s="133"/>
      <c r="G163" s="133"/>
      <c r="H163" s="133"/>
      <c r="I163" s="133"/>
      <c r="J163" s="133"/>
      <c r="K163" s="133"/>
      <c r="L163" s="133"/>
      <c r="M163" s="133"/>
      <c r="N163" s="133"/>
      <c r="O163" s="133"/>
      <c r="P163" s="133"/>
    </row>
    <row r="164" spans="3:16">
      <c r="C164" s="133"/>
      <c r="D164" s="133"/>
      <c r="E164" s="133"/>
      <c r="F164" s="133"/>
      <c r="G164" s="133"/>
      <c r="H164" s="133"/>
      <c r="I164" s="133"/>
      <c r="J164" s="133"/>
      <c r="K164" s="133"/>
      <c r="L164" s="133"/>
      <c r="M164" s="133"/>
      <c r="N164" s="133"/>
      <c r="O164" s="133"/>
      <c r="P164" s="133"/>
    </row>
    <row r="165" spans="3:16">
      <c r="C165" s="133"/>
      <c r="D165" s="133"/>
      <c r="E165" s="133"/>
      <c r="F165" s="133"/>
      <c r="G165" s="133"/>
      <c r="H165" s="133"/>
      <c r="I165" s="133"/>
      <c r="J165" s="133"/>
      <c r="K165" s="133"/>
      <c r="L165" s="133"/>
      <c r="M165" s="133"/>
      <c r="N165" s="133"/>
      <c r="O165" s="133"/>
      <c r="P165" s="133"/>
    </row>
    <row r="166" spans="3:16">
      <c r="C166" s="133"/>
      <c r="D166" s="133"/>
      <c r="E166" s="133"/>
      <c r="F166" s="133"/>
      <c r="G166" s="133"/>
      <c r="H166" s="133"/>
      <c r="I166" s="133"/>
      <c r="J166" s="133"/>
      <c r="K166" s="133"/>
      <c r="L166" s="133"/>
      <c r="M166" s="133"/>
      <c r="N166" s="133"/>
      <c r="O166" s="133"/>
      <c r="P166" s="133"/>
    </row>
    <row r="167" spans="3:16">
      <c r="C167" s="133"/>
      <c r="D167" s="133"/>
      <c r="E167" s="133"/>
      <c r="F167" s="133"/>
      <c r="G167" s="133"/>
      <c r="H167" s="133"/>
      <c r="I167" s="133"/>
      <c r="J167" s="133"/>
      <c r="K167" s="133"/>
      <c r="L167" s="133"/>
      <c r="M167" s="133"/>
      <c r="N167" s="133"/>
      <c r="O167" s="133"/>
      <c r="P167" s="133"/>
    </row>
    <row r="168" spans="3:16">
      <c r="C168" s="133"/>
      <c r="D168" s="133"/>
      <c r="E168" s="133"/>
      <c r="F168" s="133"/>
      <c r="G168" s="133"/>
      <c r="H168" s="133"/>
      <c r="I168" s="133"/>
      <c r="J168" s="133"/>
      <c r="K168" s="133"/>
      <c r="L168" s="133"/>
      <c r="M168" s="133"/>
      <c r="N168" s="133"/>
      <c r="O168" s="133"/>
      <c r="P168" s="133"/>
    </row>
    <row r="169" spans="3:16">
      <c r="C169" s="133"/>
      <c r="D169" s="133"/>
      <c r="E169" s="133"/>
      <c r="F169" s="133"/>
      <c r="G169" s="133"/>
      <c r="H169" s="133"/>
      <c r="I169" s="133"/>
      <c r="J169" s="133"/>
      <c r="K169" s="133"/>
      <c r="L169" s="133"/>
      <c r="M169" s="133"/>
      <c r="N169" s="133"/>
      <c r="O169" s="133"/>
      <c r="P169" s="133"/>
    </row>
    <row r="170" spans="3:16">
      <c r="C170" s="133"/>
      <c r="D170" s="133"/>
      <c r="E170" s="133"/>
      <c r="F170" s="133"/>
      <c r="G170" s="133"/>
      <c r="H170" s="133"/>
      <c r="I170" s="133"/>
      <c r="J170" s="133"/>
      <c r="K170" s="133"/>
      <c r="L170" s="133"/>
      <c r="M170" s="133"/>
      <c r="N170" s="133"/>
      <c r="O170" s="133"/>
      <c r="P170" s="133"/>
    </row>
    <row r="171" spans="3:16">
      <c r="C171" s="133"/>
      <c r="D171" s="133"/>
      <c r="E171" s="133"/>
      <c r="F171" s="133"/>
      <c r="G171" s="133"/>
      <c r="H171" s="133"/>
      <c r="I171" s="133"/>
      <c r="J171" s="133"/>
      <c r="K171" s="133"/>
      <c r="L171" s="133"/>
      <c r="M171" s="133"/>
      <c r="N171" s="133"/>
      <c r="O171" s="133"/>
      <c r="P171" s="133"/>
    </row>
    <row r="172" spans="3:16">
      <c r="C172" s="133"/>
      <c r="D172" s="133"/>
      <c r="E172" s="133"/>
      <c r="F172" s="133"/>
      <c r="G172" s="133"/>
      <c r="H172" s="133"/>
      <c r="I172" s="133"/>
      <c r="J172" s="133"/>
      <c r="K172" s="133"/>
      <c r="L172" s="133"/>
      <c r="M172" s="133"/>
      <c r="N172" s="133"/>
      <c r="O172" s="133"/>
      <c r="P172" s="133"/>
    </row>
    <row r="173" spans="3:16">
      <c r="C173" s="133"/>
      <c r="D173" s="133"/>
      <c r="E173" s="133"/>
      <c r="F173" s="133"/>
      <c r="G173" s="133"/>
      <c r="H173" s="133"/>
      <c r="I173" s="133"/>
      <c r="J173" s="133"/>
      <c r="K173" s="133"/>
      <c r="L173" s="133"/>
      <c r="M173" s="133"/>
      <c r="N173" s="133"/>
      <c r="O173" s="133"/>
      <c r="P173" s="133"/>
    </row>
    <row r="174" spans="3:16">
      <c r="C174" s="133"/>
      <c r="D174" s="133"/>
      <c r="E174" s="133"/>
      <c r="F174" s="133"/>
      <c r="G174" s="133"/>
      <c r="H174" s="133"/>
      <c r="I174" s="133"/>
      <c r="J174" s="133"/>
      <c r="K174" s="133"/>
      <c r="L174" s="133"/>
      <c r="M174" s="133"/>
      <c r="N174" s="133"/>
      <c r="O174" s="133"/>
      <c r="P174" s="133"/>
    </row>
    <row r="175" spans="3:16">
      <c r="C175" s="133"/>
      <c r="D175" s="133"/>
      <c r="E175" s="133"/>
      <c r="F175" s="133"/>
      <c r="G175" s="133"/>
      <c r="H175" s="133"/>
      <c r="I175" s="133"/>
      <c r="J175" s="133"/>
      <c r="K175" s="133"/>
      <c r="L175" s="133"/>
      <c r="M175" s="133"/>
      <c r="N175" s="133"/>
      <c r="O175" s="133"/>
      <c r="P175" s="133"/>
    </row>
    <row r="176" spans="3:16">
      <c r="C176" s="133"/>
      <c r="D176" s="133"/>
      <c r="E176" s="133"/>
      <c r="F176" s="133"/>
      <c r="G176" s="133"/>
      <c r="H176" s="133"/>
      <c r="I176" s="133"/>
      <c r="J176" s="133"/>
      <c r="K176" s="133"/>
      <c r="L176" s="133"/>
      <c r="M176" s="133"/>
      <c r="N176" s="133"/>
      <c r="O176" s="133"/>
      <c r="P176" s="133"/>
    </row>
    <row r="177" spans="3:16">
      <c r="C177" s="133"/>
      <c r="D177" s="133"/>
      <c r="E177" s="133"/>
      <c r="F177" s="133"/>
      <c r="G177" s="133"/>
      <c r="H177" s="133"/>
      <c r="I177" s="133"/>
      <c r="J177" s="133"/>
      <c r="K177" s="133"/>
      <c r="L177" s="133"/>
      <c r="M177" s="133"/>
      <c r="N177" s="133"/>
      <c r="O177" s="133"/>
      <c r="P177" s="133"/>
    </row>
    <row r="178" spans="3:16">
      <c r="C178" s="133"/>
      <c r="D178" s="133"/>
      <c r="E178" s="133"/>
      <c r="F178" s="133"/>
      <c r="G178" s="133"/>
      <c r="H178" s="133"/>
      <c r="I178" s="133"/>
      <c r="J178" s="133"/>
      <c r="K178" s="133"/>
      <c r="L178" s="133"/>
      <c r="M178" s="133"/>
      <c r="N178" s="133"/>
      <c r="O178" s="133"/>
      <c r="P178" s="133"/>
    </row>
    <row r="179" spans="3:16">
      <c r="C179" s="133"/>
      <c r="D179" s="133"/>
      <c r="E179" s="133"/>
      <c r="F179" s="133"/>
      <c r="G179" s="133"/>
      <c r="H179" s="133"/>
      <c r="I179" s="133"/>
      <c r="J179" s="133"/>
      <c r="K179" s="133"/>
      <c r="L179" s="133"/>
      <c r="M179" s="133"/>
      <c r="N179" s="133"/>
      <c r="O179" s="133"/>
      <c r="P179" s="133"/>
    </row>
    <row r="180" spans="3:16">
      <c r="C180" s="133"/>
      <c r="D180" s="133"/>
      <c r="E180" s="133"/>
      <c r="F180" s="133"/>
      <c r="G180" s="133"/>
      <c r="H180" s="133"/>
      <c r="I180" s="133"/>
      <c r="J180" s="133"/>
      <c r="K180" s="133"/>
      <c r="L180" s="133"/>
      <c r="M180" s="133"/>
      <c r="N180" s="133"/>
      <c r="O180" s="133"/>
      <c r="P180" s="133"/>
    </row>
    <row r="181" spans="3:16">
      <c r="C181" s="133"/>
      <c r="D181" s="133"/>
      <c r="E181" s="133"/>
      <c r="F181" s="133"/>
      <c r="G181" s="133"/>
      <c r="H181" s="133"/>
      <c r="I181" s="133"/>
      <c r="J181" s="133"/>
      <c r="K181" s="133"/>
      <c r="L181" s="133"/>
      <c r="M181" s="133"/>
      <c r="N181" s="133"/>
      <c r="O181" s="133"/>
      <c r="P181" s="133"/>
    </row>
    <row r="182" spans="3:16">
      <c r="C182" s="133"/>
      <c r="D182" s="133"/>
      <c r="E182" s="133"/>
      <c r="F182" s="133"/>
      <c r="G182" s="133"/>
      <c r="H182" s="133"/>
      <c r="I182" s="133"/>
      <c r="J182" s="133"/>
      <c r="K182" s="133"/>
      <c r="L182" s="133"/>
      <c r="M182" s="133"/>
      <c r="N182" s="133"/>
      <c r="O182" s="133"/>
      <c r="P182" s="133"/>
    </row>
    <row r="183" spans="3:16">
      <c r="C183" s="133"/>
      <c r="D183" s="133"/>
      <c r="E183" s="133"/>
      <c r="F183" s="133"/>
      <c r="G183" s="133"/>
      <c r="H183" s="133"/>
      <c r="I183" s="133"/>
      <c r="J183" s="133"/>
      <c r="K183" s="133"/>
      <c r="L183" s="133"/>
      <c r="M183" s="133"/>
      <c r="N183" s="133"/>
      <c r="O183" s="133"/>
      <c r="P183" s="133"/>
    </row>
    <row r="184" spans="3:16">
      <c r="C184" s="133"/>
      <c r="D184" s="133"/>
      <c r="E184" s="133"/>
      <c r="F184" s="133"/>
      <c r="G184" s="133"/>
      <c r="H184" s="133"/>
      <c r="I184" s="133"/>
      <c r="J184" s="133"/>
      <c r="K184" s="133"/>
      <c r="L184" s="133"/>
      <c r="M184" s="133"/>
      <c r="N184" s="133"/>
      <c r="O184" s="133"/>
      <c r="P184" s="133"/>
    </row>
    <row r="185" spans="3:16">
      <c r="C185" s="133"/>
      <c r="D185" s="133"/>
      <c r="E185" s="133"/>
      <c r="F185" s="133"/>
      <c r="G185" s="133"/>
      <c r="H185" s="133"/>
      <c r="I185" s="133"/>
      <c r="J185" s="133"/>
      <c r="K185" s="133"/>
      <c r="L185" s="133"/>
      <c r="M185" s="133"/>
      <c r="N185" s="133"/>
      <c r="O185" s="133"/>
      <c r="P185" s="133"/>
    </row>
    <row r="186" spans="3:16">
      <c r="C186" s="133"/>
      <c r="D186" s="133"/>
      <c r="E186" s="133"/>
      <c r="F186" s="133"/>
      <c r="G186" s="133"/>
      <c r="H186" s="133"/>
      <c r="I186" s="133"/>
      <c r="J186" s="133"/>
      <c r="K186" s="133"/>
      <c r="L186" s="133"/>
      <c r="M186" s="133"/>
      <c r="N186" s="133"/>
      <c r="O186" s="133"/>
      <c r="P186" s="133"/>
    </row>
    <row r="187" spans="3:16">
      <c r="C187" s="133"/>
      <c r="D187" s="133"/>
      <c r="E187" s="133"/>
      <c r="F187" s="133"/>
      <c r="G187" s="133"/>
      <c r="H187" s="133"/>
      <c r="I187" s="133"/>
      <c r="J187" s="133"/>
      <c r="K187" s="133"/>
      <c r="L187" s="133"/>
      <c r="M187" s="133"/>
      <c r="N187" s="133"/>
      <c r="O187" s="133"/>
      <c r="P187" s="133"/>
    </row>
    <row r="188" spans="3:16">
      <c r="C188" s="133"/>
      <c r="D188" s="133"/>
      <c r="E188" s="133"/>
      <c r="F188" s="133"/>
      <c r="G188" s="133"/>
      <c r="H188" s="133"/>
      <c r="I188" s="133"/>
      <c r="J188" s="133"/>
      <c r="K188" s="133"/>
      <c r="L188" s="133"/>
      <c r="M188" s="133"/>
      <c r="N188" s="133"/>
      <c r="O188" s="133"/>
      <c r="P188" s="133"/>
    </row>
    <row r="189" spans="3:16">
      <c r="C189" s="133"/>
      <c r="D189" s="133"/>
      <c r="E189" s="133"/>
      <c r="F189" s="133"/>
      <c r="G189" s="133"/>
      <c r="H189" s="133"/>
      <c r="I189" s="133"/>
      <c r="J189" s="133"/>
      <c r="K189" s="133"/>
      <c r="L189" s="133"/>
      <c r="M189" s="133"/>
      <c r="N189" s="133"/>
      <c r="O189" s="133"/>
      <c r="P189" s="133"/>
    </row>
    <row r="190" spans="3:16">
      <c r="C190" s="133"/>
      <c r="D190" s="133"/>
      <c r="E190" s="133"/>
      <c r="F190" s="133"/>
      <c r="G190" s="133"/>
      <c r="H190" s="133"/>
      <c r="I190" s="133"/>
      <c r="J190" s="133"/>
      <c r="K190" s="133"/>
      <c r="L190" s="133"/>
      <c r="M190" s="133"/>
      <c r="N190" s="133"/>
      <c r="O190" s="133"/>
      <c r="P190" s="133"/>
    </row>
    <row r="191" spans="3:16">
      <c r="C191" s="133"/>
      <c r="D191" s="133"/>
      <c r="E191" s="133"/>
      <c r="F191" s="133"/>
      <c r="G191" s="133"/>
      <c r="H191" s="133"/>
      <c r="I191" s="133"/>
      <c r="J191" s="133"/>
      <c r="K191" s="133"/>
      <c r="L191" s="133"/>
      <c r="M191" s="133"/>
      <c r="N191" s="133"/>
      <c r="O191" s="133"/>
      <c r="P191" s="133"/>
    </row>
    <row r="192" spans="3:16">
      <c r="C192" s="133"/>
      <c r="D192" s="133"/>
      <c r="E192" s="133"/>
      <c r="F192" s="133"/>
      <c r="G192" s="133"/>
      <c r="H192" s="133"/>
      <c r="I192" s="133"/>
      <c r="J192" s="133"/>
      <c r="K192" s="133"/>
      <c r="L192" s="133"/>
      <c r="M192" s="133"/>
      <c r="N192" s="133"/>
      <c r="O192" s="133"/>
      <c r="P192" s="133"/>
    </row>
    <row r="193" spans="3:16">
      <c r="C193" s="133"/>
      <c r="D193" s="133"/>
      <c r="E193" s="133"/>
      <c r="F193" s="133"/>
      <c r="G193" s="133"/>
      <c r="H193" s="133"/>
      <c r="I193" s="133"/>
      <c r="J193" s="133"/>
      <c r="K193" s="133"/>
      <c r="L193" s="133"/>
      <c r="M193" s="133"/>
      <c r="N193" s="133"/>
      <c r="O193" s="133"/>
      <c r="P193" s="133"/>
    </row>
    <row r="194" spans="3:16">
      <c r="C194" s="133"/>
      <c r="D194" s="133"/>
      <c r="E194" s="133"/>
      <c r="F194" s="133"/>
      <c r="G194" s="133"/>
      <c r="H194" s="133"/>
      <c r="I194" s="133"/>
      <c r="J194" s="133"/>
      <c r="K194" s="133"/>
      <c r="L194" s="133"/>
      <c r="M194" s="133"/>
      <c r="N194" s="133"/>
      <c r="O194" s="133"/>
      <c r="P194" s="133"/>
    </row>
    <row r="195" spans="3:16">
      <c r="C195" s="133"/>
      <c r="D195" s="133"/>
      <c r="E195" s="133"/>
      <c r="F195" s="133"/>
      <c r="G195" s="133"/>
      <c r="H195" s="133"/>
      <c r="I195" s="133"/>
      <c r="J195" s="133"/>
      <c r="K195" s="133"/>
      <c r="L195" s="133"/>
      <c r="M195" s="133"/>
      <c r="N195" s="133"/>
      <c r="O195" s="133"/>
      <c r="P195" s="133"/>
    </row>
    <row r="196" spans="3:16">
      <c r="C196" s="133"/>
      <c r="D196" s="133"/>
      <c r="E196" s="133"/>
      <c r="F196" s="133"/>
      <c r="G196" s="133"/>
      <c r="H196" s="133"/>
      <c r="I196" s="133"/>
      <c r="J196" s="133"/>
      <c r="K196" s="133"/>
      <c r="L196" s="133"/>
      <c r="M196" s="133"/>
      <c r="N196" s="133"/>
      <c r="O196" s="133"/>
      <c r="P196" s="133"/>
    </row>
    <row r="197" spans="3:16">
      <c r="C197" s="133"/>
      <c r="D197" s="133"/>
      <c r="E197" s="133"/>
      <c r="F197" s="133"/>
      <c r="G197" s="133"/>
      <c r="H197" s="133"/>
      <c r="I197" s="133"/>
      <c r="J197" s="133"/>
      <c r="K197" s="133"/>
      <c r="L197" s="133"/>
      <c r="M197" s="133"/>
      <c r="N197" s="133"/>
      <c r="O197" s="133"/>
      <c r="P197" s="133"/>
    </row>
    <row r="198" spans="3:16">
      <c r="C198" s="133"/>
      <c r="D198" s="133"/>
      <c r="E198" s="133"/>
      <c r="F198" s="133"/>
      <c r="G198" s="133"/>
      <c r="H198" s="133"/>
      <c r="I198" s="133"/>
      <c r="J198" s="133"/>
      <c r="K198" s="133"/>
      <c r="L198" s="133"/>
      <c r="M198" s="133"/>
      <c r="N198" s="133"/>
      <c r="O198" s="133"/>
      <c r="P198" s="133"/>
    </row>
    <row r="199" spans="3:16">
      <c r="C199" s="133"/>
      <c r="D199" s="133"/>
      <c r="E199" s="133"/>
      <c r="F199" s="133"/>
      <c r="G199" s="133"/>
      <c r="H199" s="133"/>
      <c r="I199" s="133"/>
      <c r="J199" s="133"/>
      <c r="K199" s="133"/>
      <c r="L199" s="133"/>
      <c r="M199" s="133"/>
      <c r="N199" s="133"/>
      <c r="O199" s="133"/>
      <c r="P199" s="133"/>
    </row>
    <row r="200" spans="3:16">
      <c r="C200" s="133"/>
      <c r="D200" s="133"/>
      <c r="E200" s="133"/>
      <c r="F200" s="133"/>
      <c r="G200" s="133"/>
      <c r="H200" s="133"/>
      <c r="I200" s="133"/>
      <c r="J200" s="133"/>
      <c r="K200" s="133"/>
      <c r="L200" s="133"/>
      <c r="M200" s="133"/>
      <c r="N200" s="133"/>
      <c r="O200" s="133"/>
      <c r="P200" s="133"/>
    </row>
    <row r="201" spans="3:16">
      <c r="C201" s="133"/>
      <c r="D201" s="133"/>
      <c r="E201" s="133"/>
      <c r="F201" s="133"/>
      <c r="G201" s="133"/>
      <c r="H201" s="133"/>
      <c r="I201" s="133"/>
      <c r="J201" s="133"/>
      <c r="K201" s="133"/>
      <c r="L201" s="133"/>
      <c r="M201" s="133"/>
      <c r="N201" s="133"/>
      <c r="O201" s="133"/>
      <c r="P201" s="133"/>
    </row>
    <row r="202" spans="3:16">
      <c r="C202" s="133"/>
      <c r="D202" s="133"/>
      <c r="E202" s="133"/>
      <c r="F202" s="133"/>
      <c r="G202" s="133"/>
      <c r="H202" s="133"/>
      <c r="I202" s="133"/>
      <c r="J202" s="133"/>
      <c r="K202" s="133"/>
      <c r="L202" s="133"/>
      <c r="M202" s="133"/>
      <c r="N202" s="133"/>
      <c r="O202" s="133"/>
      <c r="P202" s="133"/>
    </row>
    <row r="203" spans="3:16">
      <c r="C203" s="133"/>
      <c r="D203" s="133"/>
      <c r="E203" s="133"/>
      <c r="F203" s="133"/>
      <c r="G203" s="133"/>
      <c r="H203" s="133"/>
      <c r="I203" s="133"/>
      <c r="J203" s="133"/>
      <c r="K203" s="133"/>
      <c r="L203" s="133"/>
      <c r="M203" s="133"/>
      <c r="N203" s="133"/>
      <c r="O203" s="133"/>
      <c r="P203" s="133"/>
    </row>
    <row r="204" spans="3:16">
      <c r="C204" s="133"/>
      <c r="D204" s="133"/>
      <c r="E204" s="133"/>
      <c r="F204" s="133"/>
      <c r="G204" s="133"/>
      <c r="H204" s="133"/>
      <c r="I204" s="133"/>
      <c r="J204" s="133"/>
      <c r="K204" s="133"/>
      <c r="L204" s="133"/>
      <c r="M204" s="133"/>
      <c r="N204" s="133"/>
      <c r="O204" s="133"/>
      <c r="P204" s="133"/>
    </row>
    <row r="205" spans="3:16">
      <c r="C205" s="133"/>
      <c r="D205" s="133"/>
      <c r="E205" s="133"/>
      <c r="F205" s="133"/>
      <c r="G205" s="133"/>
      <c r="H205" s="133"/>
      <c r="I205" s="133"/>
      <c r="J205" s="133"/>
      <c r="K205" s="133"/>
      <c r="L205" s="133"/>
      <c r="M205" s="133"/>
      <c r="N205" s="133"/>
      <c r="O205" s="133"/>
      <c r="P205" s="133"/>
    </row>
    <row r="206" spans="3:16">
      <c r="C206" s="133"/>
      <c r="D206" s="133"/>
      <c r="E206" s="133"/>
      <c r="F206" s="133"/>
      <c r="G206" s="133"/>
      <c r="H206" s="133"/>
      <c r="I206" s="133"/>
      <c r="J206" s="133"/>
      <c r="K206" s="133"/>
      <c r="L206" s="133"/>
      <c r="M206" s="133"/>
      <c r="N206" s="133"/>
      <c r="O206" s="133"/>
      <c r="P206" s="133"/>
    </row>
    <row r="207" spans="3:16">
      <c r="C207" s="133"/>
      <c r="D207" s="133"/>
      <c r="E207" s="133"/>
      <c r="F207" s="133"/>
      <c r="G207" s="133"/>
      <c r="H207" s="133"/>
      <c r="I207" s="133"/>
      <c r="J207" s="133"/>
      <c r="K207" s="133"/>
      <c r="L207" s="133"/>
      <c r="M207" s="133"/>
      <c r="N207" s="133"/>
      <c r="O207" s="133"/>
      <c r="P207" s="133"/>
    </row>
    <row r="208" spans="3:16">
      <c r="C208" s="133"/>
      <c r="D208" s="133"/>
      <c r="E208" s="133"/>
      <c r="F208" s="133"/>
      <c r="G208" s="133"/>
      <c r="H208" s="133"/>
      <c r="I208" s="133"/>
      <c r="J208" s="133"/>
      <c r="K208" s="133"/>
      <c r="L208" s="133"/>
      <c r="M208" s="133"/>
      <c r="N208" s="133"/>
      <c r="O208" s="133"/>
      <c r="P208" s="133"/>
    </row>
    <row r="209" spans="3:16">
      <c r="C209" s="133"/>
      <c r="D209" s="133"/>
      <c r="E209" s="133"/>
      <c r="F209" s="133"/>
      <c r="G209" s="133"/>
      <c r="H209" s="133"/>
      <c r="I209" s="133"/>
      <c r="J209" s="133"/>
      <c r="K209" s="133"/>
      <c r="L209" s="133"/>
      <c r="M209" s="133"/>
      <c r="N209" s="133"/>
      <c r="O209" s="133"/>
      <c r="P209" s="133"/>
    </row>
    <row r="210" spans="3:16">
      <c r="C210" s="133"/>
      <c r="D210" s="133"/>
      <c r="E210" s="133"/>
      <c r="F210" s="133"/>
      <c r="G210" s="133"/>
      <c r="H210" s="133"/>
      <c r="I210" s="133"/>
      <c r="J210" s="133"/>
      <c r="K210" s="133"/>
      <c r="L210" s="133"/>
      <c r="M210" s="133"/>
      <c r="N210" s="133"/>
      <c r="O210" s="133"/>
      <c r="P210" s="133"/>
    </row>
    <row r="211" spans="3:16">
      <c r="C211" s="133"/>
      <c r="D211" s="133"/>
      <c r="E211" s="133"/>
      <c r="F211" s="133"/>
      <c r="G211" s="133"/>
      <c r="H211" s="133"/>
      <c r="I211" s="133"/>
      <c r="J211" s="133"/>
      <c r="K211" s="133"/>
      <c r="L211" s="133"/>
      <c r="M211" s="133"/>
      <c r="N211" s="133"/>
      <c r="O211" s="133"/>
      <c r="P211" s="133"/>
    </row>
    <row r="212" spans="3:16">
      <c r="C212" s="133"/>
      <c r="D212" s="133"/>
      <c r="E212" s="133"/>
      <c r="F212" s="133"/>
      <c r="G212" s="133"/>
      <c r="H212" s="133"/>
      <c r="I212" s="133"/>
      <c r="J212" s="133"/>
      <c r="K212" s="133"/>
      <c r="L212" s="133"/>
      <c r="M212" s="133"/>
      <c r="N212" s="133"/>
      <c r="O212" s="133"/>
      <c r="P212" s="133"/>
    </row>
    <row r="213" spans="3:16">
      <c r="C213" s="133"/>
      <c r="D213" s="133"/>
      <c r="E213" s="133"/>
      <c r="F213" s="133"/>
      <c r="G213" s="133"/>
      <c r="H213" s="133"/>
      <c r="I213" s="133"/>
      <c r="J213" s="133"/>
      <c r="K213" s="133"/>
      <c r="L213" s="133"/>
      <c r="M213" s="133"/>
      <c r="N213" s="133"/>
      <c r="O213" s="133"/>
      <c r="P213" s="133"/>
    </row>
    <row r="214" spans="3:16">
      <c r="C214" s="133"/>
      <c r="D214" s="133"/>
      <c r="E214" s="133"/>
      <c r="F214" s="133"/>
      <c r="G214" s="133"/>
      <c r="H214" s="133"/>
      <c r="I214" s="133"/>
      <c r="J214" s="133"/>
      <c r="K214" s="133"/>
      <c r="L214" s="133"/>
      <c r="M214" s="133"/>
      <c r="N214" s="133"/>
      <c r="O214" s="133"/>
      <c r="P214" s="133"/>
    </row>
    <row r="215" spans="3:16">
      <c r="C215" s="133"/>
      <c r="D215" s="133"/>
      <c r="E215" s="133"/>
      <c r="F215" s="133"/>
      <c r="G215" s="133"/>
      <c r="H215" s="133"/>
      <c r="I215" s="133"/>
      <c r="J215" s="133"/>
      <c r="K215" s="133"/>
      <c r="L215" s="133"/>
      <c r="M215" s="133"/>
      <c r="N215" s="133"/>
      <c r="O215" s="133"/>
      <c r="P215" s="133"/>
    </row>
    <row r="216" spans="3:16">
      <c r="C216" s="133"/>
      <c r="D216" s="133"/>
      <c r="E216" s="133"/>
      <c r="F216" s="133"/>
      <c r="G216" s="133"/>
      <c r="H216" s="133"/>
      <c r="I216" s="133"/>
      <c r="J216" s="133"/>
      <c r="K216" s="133"/>
      <c r="L216" s="133"/>
      <c r="M216" s="133"/>
      <c r="N216" s="133"/>
      <c r="O216" s="133"/>
      <c r="P216" s="133"/>
    </row>
    <row r="217" spans="3:16">
      <c r="C217" s="133"/>
      <c r="D217" s="133"/>
      <c r="E217" s="133"/>
      <c r="F217" s="133"/>
      <c r="G217" s="133"/>
      <c r="H217" s="133"/>
      <c r="I217" s="133"/>
      <c r="J217" s="133"/>
      <c r="K217" s="133"/>
      <c r="L217" s="133"/>
      <c r="M217" s="133"/>
      <c r="N217" s="133"/>
      <c r="O217" s="133"/>
      <c r="P217" s="133"/>
    </row>
    <row r="218" spans="3:16">
      <c r="C218" s="133"/>
      <c r="D218" s="133"/>
      <c r="E218" s="133"/>
      <c r="F218" s="133"/>
      <c r="G218" s="133"/>
      <c r="H218" s="133"/>
      <c r="I218" s="133"/>
      <c r="J218" s="133"/>
      <c r="K218" s="133"/>
      <c r="L218" s="133"/>
      <c r="M218" s="133"/>
      <c r="N218" s="133"/>
      <c r="O218" s="133"/>
      <c r="P218" s="133"/>
    </row>
    <row r="219" spans="3:16">
      <c r="C219" s="133"/>
      <c r="D219" s="133"/>
      <c r="E219" s="133"/>
      <c r="F219" s="133"/>
      <c r="G219" s="133"/>
      <c r="H219" s="133"/>
      <c r="I219" s="133"/>
      <c r="J219" s="133"/>
      <c r="K219" s="133"/>
      <c r="L219" s="133"/>
      <c r="M219" s="133"/>
      <c r="N219" s="133"/>
      <c r="O219" s="133"/>
      <c r="P219" s="133"/>
    </row>
    <row r="220" spans="3:16">
      <c r="C220" s="133"/>
      <c r="D220" s="133"/>
      <c r="E220" s="133"/>
      <c r="F220" s="133"/>
      <c r="G220" s="133"/>
      <c r="H220" s="133"/>
      <c r="I220" s="133"/>
      <c r="J220" s="133"/>
      <c r="K220" s="133"/>
      <c r="L220" s="133"/>
      <c r="M220" s="133"/>
      <c r="N220" s="133"/>
      <c r="O220" s="133"/>
      <c r="P220" s="133"/>
    </row>
    <row r="221" spans="3:16">
      <c r="C221" s="133"/>
      <c r="D221" s="133"/>
      <c r="E221" s="133"/>
      <c r="F221" s="133"/>
      <c r="G221" s="133"/>
      <c r="H221" s="133"/>
      <c r="I221" s="133"/>
      <c r="J221" s="133"/>
      <c r="K221" s="133"/>
      <c r="L221" s="133"/>
      <c r="M221" s="133"/>
      <c r="N221" s="133"/>
      <c r="O221" s="133"/>
      <c r="P221" s="133"/>
    </row>
    <row r="222" spans="3:16">
      <c r="C222" s="133"/>
      <c r="D222" s="133"/>
      <c r="E222" s="133"/>
      <c r="F222" s="133"/>
      <c r="G222" s="133"/>
      <c r="H222" s="133"/>
      <c r="I222" s="133"/>
      <c r="J222" s="133"/>
      <c r="K222" s="133"/>
      <c r="L222" s="133"/>
      <c r="M222" s="133"/>
      <c r="N222" s="133"/>
      <c r="O222" s="133"/>
      <c r="P222" s="133"/>
    </row>
    <row r="223" spans="3:16">
      <c r="C223" s="133"/>
      <c r="D223" s="133"/>
      <c r="E223" s="133"/>
      <c r="F223" s="133"/>
      <c r="G223" s="133"/>
      <c r="H223" s="133"/>
      <c r="I223" s="133"/>
      <c r="J223" s="133"/>
      <c r="K223" s="133"/>
      <c r="L223" s="133"/>
      <c r="M223" s="133"/>
      <c r="N223" s="133"/>
      <c r="O223" s="133"/>
      <c r="P223" s="133"/>
    </row>
    <row r="224" spans="3:16">
      <c r="C224" s="133"/>
      <c r="D224" s="133"/>
      <c r="E224" s="133"/>
      <c r="F224" s="133"/>
      <c r="G224" s="133"/>
      <c r="H224" s="133"/>
      <c r="I224" s="133"/>
      <c r="J224" s="133"/>
      <c r="K224" s="133"/>
      <c r="L224" s="133"/>
      <c r="M224" s="133"/>
      <c r="N224" s="133"/>
      <c r="O224" s="133"/>
      <c r="P224" s="133"/>
    </row>
    <row r="225" spans="3:16">
      <c r="C225" s="133"/>
      <c r="D225" s="133"/>
      <c r="E225" s="133"/>
      <c r="F225" s="133"/>
      <c r="G225" s="133"/>
      <c r="H225" s="133"/>
      <c r="I225" s="133"/>
      <c r="J225" s="133"/>
      <c r="K225" s="133"/>
      <c r="L225" s="133"/>
      <c r="M225" s="133"/>
      <c r="N225" s="133"/>
      <c r="O225" s="133"/>
      <c r="P225" s="133"/>
    </row>
    <row r="226" spans="3:16">
      <c r="C226" s="133"/>
      <c r="D226" s="133"/>
      <c r="E226" s="133"/>
      <c r="F226" s="133"/>
      <c r="G226" s="133"/>
      <c r="H226" s="133"/>
      <c r="I226" s="133"/>
      <c r="J226" s="133"/>
      <c r="K226" s="133"/>
      <c r="L226" s="133"/>
      <c r="M226" s="133"/>
      <c r="N226" s="133"/>
      <c r="O226" s="133"/>
      <c r="P226" s="133"/>
    </row>
    <row r="227" spans="3:16">
      <c r="C227" s="133"/>
      <c r="D227" s="133"/>
      <c r="E227" s="133"/>
      <c r="F227" s="133"/>
      <c r="G227" s="133"/>
      <c r="H227" s="133"/>
      <c r="I227" s="133"/>
      <c r="J227" s="133"/>
      <c r="K227" s="133"/>
      <c r="L227" s="133"/>
      <c r="M227" s="133"/>
      <c r="N227" s="133"/>
      <c r="O227" s="133"/>
      <c r="P227" s="133"/>
    </row>
    <row r="228" spans="3:16">
      <c r="C228" s="133"/>
      <c r="D228" s="133"/>
      <c r="E228" s="133"/>
      <c r="F228" s="133"/>
      <c r="G228" s="133"/>
      <c r="H228" s="133"/>
      <c r="I228" s="133"/>
      <c r="J228" s="133"/>
      <c r="K228" s="133"/>
      <c r="L228" s="133"/>
      <c r="M228" s="133"/>
      <c r="N228" s="133"/>
      <c r="O228" s="133"/>
      <c r="P228" s="133"/>
    </row>
    <row r="229" spans="3:16">
      <c r="C229" s="133"/>
      <c r="D229" s="133"/>
      <c r="E229" s="133"/>
      <c r="F229" s="133"/>
      <c r="G229" s="133"/>
      <c r="H229" s="133"/>
      <c r="I229" s="133"/>
      <c r="J229" s="133"/>
      <c r="K229" s="133"/>
      <c r="L229" s="133"/>
      <c r="M229" s="133"/>
      <c r="N229" s="133"/>
      <c r="O229" s="133"/>
      <c r="P229" s="133"/>
    </row>
    <row r="230" spans="3:16">
      <c r="C230" s="133"/>
      <c r="D230" s="133"/>
      <c r="E230" s="133"/>
      <c r="F230" s="133"/>
      <c r="G230" s="133"/>
      <c r="H230" s="133"/>
      <c r="I230" s="133"/>
      <c r="J230" s="133"/>
      <c r="K230" s="133"/>
      <c r="L230" s="133"/>
      <c r="M230" s="133"/>
      <c r="N230" s="133"/>
      <c r="O230" s="133"/>
      <c r="P230" s="133"/>
    </row>
    <row r="231" spans="3:16">
      <c r="C231" s="133"/>
      <c r="D231" s="133"/>
      <c r="E231" s="133"/>
      <c r="F231" s="133"/>
      <c r="G231" s="133"/>
      <c r="H231" s="133"/>
      <c r="I231" s="133"/>
      <c r="J231" s="133"/>
      <c r="K231" s="133"/>
      <c r="L231" s="133"/>
      <c r="M231" s="133"/>
      <c r="N231" s="133"/>
      <c r="O231" s="133"/>
      <c r="P231" s="133"/>
    </row>
    <row r="232" spans="3:16">
      <c r="C232" s="133"/>
      <c r="D232" s="133"/>
      <c r="E232" s="133"/>
      <c r="F232" s="133"/>
      <c r="G232" s="133"/>
      <c r="H232" s="133"/>
      <c r="I232" s="133"/>
      <c r="J232" s="133"/>
      <c r="K232" s="133"/>
      <c r="L232" s="133"/>
      <c r="M232" s="133"/>
      <c r="N232" s="133"/>
      <c r="O232" s="133"/>
      <c r="P232" s="133"/>
    </row>
    <row r="233" spans="3:16">
      <c r="C233" s="133"/>
      <c r="D233" s="133"/>
      <c r="E233" s="133"/>
      <c r="F233" s="133"/>
      <c r="G233" s="133"/>
      <c r="H233" s="133"/>
      <c r="I233" s="133"/>
      <c r="J233" s="133"/>
      <c r="K233" s="133"/>
      <c r="L233" s="133"/>
      <c r="M233" s="133"/>
      <c r="N233" s="133"/>
      <c r="O233" s="133"/>
      <c r="P233" s="133"/>
    </row>
    <row r="234" spans="3:16">
      <c r="C234" s="133"/>
      <c r="D234" s="133"/>
      <c r="E234" s="133"/>
      <c r="F234" s="133"/>
      <c r="G234" s="133"/>
      <c r="H234" s="133"/>
      <c r="I234" s="133"/>
      <c r="J234" s="133"/>
      <c r="K234" s="133"/>
      <c r="L234" s="133"/>
      <c r="M234" s="133"/>
      <c r="N234" s="133"/>
      <c r="O234" s="133"/>
      <c r="P234" s="133"/>
    </row>
    <row r="235" spans="3:16">
      <c r="C235" s="133"/>
      <c r="D235" s="133"/>
      <c r="E235" s="133"/>
      <c r="F235" s="133"/>
      <c r="G235" s="133"/>
      <c r="H235" s="133"/>
      <c r="I235" s="133"/>
      <c r="J235" s="133"/>
      <c r="K235" s="133"/>
      <c r="L235" s="133"/>
      <c r="M235" s="133"/>
      <c r="N235" s="133"/>
      <c r="O235" s="133"/>
      <c r="P235" s="133"/>
    </row>
    <row r="236" spans="3:16">
      <c r="C236" s="133"/>
      <c r="D236" s="133"/>
      <c r="E236" s="133"/>
      <c r="F236" s="133"/>
      <c r="G236" s="133"/>
      <c r="H236" s="133"/>
      <c r="I236" s="133"/>
      <c r="J236" s="133"/>
      <c r="K236" s="133"/>
      <c r="L236" s="133"/>
      <c r="M236" s="133"/>
      <c r="N236" s="133"/>
      <c r="O236" s="133"/>
      <c r="P236" s="133"/>
    </row>
    <row r="237" spans="3:16">
      <c r="C237" s="133"/>
      <c r="D237" s="133"/>
      <c r="E237" s="133"/>
      <c r="F237" s="133"/>
      <c r="G237" s="133"/>
      <c r="H237" s="133"/>
      <c r="I237" s="133"/>
      <c r="J237" s="133"/>
      <c r="K237" s="133"/>
      <c r="L237" s="133"/>
      <c r="M237" s="133"/>
      <c r="N237" s="133"/>
      <c r="O237" s="133"/>
      <c r="P237" s="133"/>
    </row>
    <row r="238" spans="3:16">
      <c r="C238" s="133"/>
      <c r="D238" s="133"/>
      <c r="E238" s="133"/>
      <c r="F238" s="133"/>
      <c r="G238" s="133"/>
      <c r="H238" s="133"/>
      <c r="I238" s="133"/>
      <c r="J238" s="133"/>
      <c r="K238" s="133"/>
      <c r="L238" s="133"/>
      <c r="M238" s="133"/>
      <c r="N238" s="133"/>
      <c r="O238" s="133"/>
      <c r="P238" s="133"/>
    </row>
    <row r="239" spans="3:16">
      <c r="C239" s="133"/>
      <c r="D239" s="133"/>
      <c r="E239" s="133"/>
      <c r="F239" s="133"/>
      <c r="G239" s="133"/>
      <c r="H239" s="133"/>
      <c r="I239" s="133"/>
      <c r="J239" s="133"/>
      <c r="K239" s="133"/>
      <c r="L239" s="133"/>
      <c r="M239" s="133"/>
      <c r="N239" s="133"/>
      <c r="O239" s="133"/>
      <c r="P239" s="133"/>
    </row>
    <row r="240" spans="3:16">
      <c r="C240" s="133"/>
      <c r="D240" s="133"/>
      <c r="E240" s="133"/>
      <c r="F240" s="133"/>
      <c r="G240" s="133"/>
      <c r="H240" s="133"/>
      <c r="I240" s="133"/>
      <c r="J240" s="133"/>
      <c r="K240" s="133"/>
      <c r="L240" s="133"/>
      <c r="M240" s="133"/>
      <c r="N240" s="133"/>
      <c r="O240" s="133"/>
      <c r="P240" s="133"/>
    </row>
    <row r="241" spans="3:16">
      <c r="C241" s="133"/>
      <c r="D241" s="133"/>
      <c r="E241" s="133"/>
      <c r="F241" s="133"/>
      <c r="G241" s="133"/>
      <c r="H241" s="133"/>
      <c r="I241" s="133"/>
      <c r="J241" s="133"/>
      <c r="K241" s="133"/>
      <c r="L241" s="133"/>
      <c r="M241" s="133"/>
      <c r="N241" s="133"/>
      <c r="O241" s="133"/>
      <c r="P241" s="133"/>
    </row>
    <row r="242" spans="3:16">
      <c r="C242" s="133"/>
      <c r="D242" s="133"/>
      <c r="E242" s="133"/>
      <c r="F242" s="133"/>
      <c r="G242" s="133"/>
      <c r="H242" s="133"/>
      <c r="I242" s="133"/>
      <c r="J242" s="133"/>
      <c r="K242" s="133"/>
      <c r="L242" s="133"/>
      <c r="M242" s="133"/>
      <c r="N242" s="133"/>
      <c r="O242" s="133"/>
      <c r="P242" s="133"/>
    </row>
    <row r="243" spans="3:16">
      <c r="C243" s="133"/>
      <c r="D243" s="133"/>
      <c r="E243" s="133"/>
      <c r="F243" s="133"/>
      <c r="G243" s="133"/>
      <c r="H243" s="133"/>
      <c r="I243" s="133"/>
      <c r="J243" s="133"/>
      <c r="K243" s="133"/>
      <c r="L243" s="133"/>
      <c r="M243" s="133"/>
      <c r="N243" s="133"/>
      <c r="O243" s="133"/>
      <c r="P243" s="133"/>
    </row>
    <row r="244" spans="3:16">
      <c r="C244" s="133"/>
      <c r="D244" s="133"/>
      <c r="E244" s="133"/>
      <c r="F244" s="133"/>
      <c r="G244" s="133"/>
      <c r="H244" s="133"/>
      <c r="I244" s="133"/>
      <c r="J244" s="133"/>
      <c r="K244" s="133"/>
      <c r="L244" s="133"/>
      <c r="M244" s="133"/>
      <c r="N244" s="133"/>
      <c r="O244" s="133"/>
      <c r="P244" s="133"/>
    </row>
    <row r="245" spans="3:16">
      <c r="C245" s="133"/>
      <c r="D245" s="133"/>
      <c r="E245" s="133"/>
      <c r="F245" s="133"/>
      <c r="G245" s="133"/>
      <c r="H245" s="133"/>
      <c r="I245" s="133"/>
      <c r="J245" s="133"/>
      <c r="K245" s="133"/>
      <c r="L245" s="133"/>
      <c r="M245" s="133"/>
      <c r="N245" s="133"/>
      <c r="O245" s="133"/>
      <c r="P245" s="133"/>
    </row>
    <row r="246" spans="3:16">
      <c r="C246" s="133"/>
      <c r="D246" s="133"/>
      <c r="E246" s="133"/>
      <c r="F246" s="133"/>
      <c r="G246" s="133"/>
      <c r="H246" s="133"/>
      <c r="I246" s="133"/>
      <c r="J246" s="133"/>
      <c r="K246" s="133"/>
      <c r="L246" s="133"/>
      <c r="M246" s="133"/>
      <c r="N246" s="133"/>
      <c r="O246" s="133"/>
      <c r="P246" s="133"/>
    </row>
    <row r="247" spans="3:16">
      <c r="C247" s="133"/>
      <c r="D247" s="133"/>
      <c r="E247" s="133"/>
      <c r="F247" s="133"/>
      <c r="G247" s="133"/>
      <c r="H247" s="133"/>
      <c r="I247" s="133"/>
      <c r="J247" s="133"/>
      <c r="K247" s="133"/>
      <c r="L247" s="133"/>
      <c r="M247" s="133"/>
      <c r="N247" s="133"/>
      <c r="O247" s="133"/>
      <c r="P247" s="133"/>
    </row>
    <row r="248" spans="3:16">
      <c r="C248" s="133"/>
      <c r="D248" s="133"/>
      <c r="E248" s="133"/>
      <c r="F248" s="133"/>
      <c r="G248" s="133"/>
      <c r="H248" s="133"/>
      <c r="I248" s="133"/>
      <c r="J248" s="133"/>
      <c r="K248" s="133"/>
      <c r="L248" s="133"/>
      <c r="M248" s="133"/>
      <c r="N248" s="133"/>
      <c r="O248" s="133"/>
      <c r="P248" s="133"/>
    </row>
    <row r="249" spans="3:16">
      <c r="C249" s="133"/>
      <c r="D249" s="133"/>
      <c r="E249" s="133"/>
      <c r="F249" s="133"/>
      <c r="G249" s="133"/>
      <c r="H249" s="133"/>
      <c r="I249" s="133"/>
      <c r="J249" s="133"/>
      <c r="K249" s="133"/>
      <c r="L249" s="133"/>
      <c r="M249" s="133"/>
      <c r="N249" s="133"/>
      <c r="O249" s="133"/>
      <c r="P249" s="133"/>
    </row>
    <row r="250" spans="3:16">
      <c r="C250" s="133"/>
      <c r="D250" s="133"/>
      <c r="E250" s="133"/>
      <c r="F250" s="133"/>
      <c r="G250" s="133"/>
      <c r="H250" s="133"/>
      <c r="I250" s="133"/>
      <c r="J250" s="133"/>
      <c r="K250" s="133"/>
      <c r="L250" s="133"/>
      <c r="M250" s="133"/>
      <c r="N250" s="133"/>
      <c r="O250" s="133"/>
      <c r="P250" s="133"/>
    </row>
    <row r="251" spans="3:16">
      <c r="C251" s="133"/>
      <c r="D251" s="133"/>
      <c r="E251" s="133"/>
      <c r="F251" s="133"/>
      <c r="G251" s="133"/>
      <c r="H251" s="133"/>
      <c r="I251" s="133"/>
      <c r="J251" s="133"/>
      <c r="K251" s="133"/>
      <c r="L251" s="133"/>
      <c r="M251" s="133"/>
      <c r="N251" s="133"/>
      <c r="O251" s="133"/>
      <c r="P251" s="133"/>
    </row>
    <row r="252" spans="3:16">
      <c r="C252" s="133"/>
      <c r="D252" s="133"/>
      <c r="E252" s="133"/>
      <c r="F252" s="133"/>
      <c r="G252" s="133"/>
      <c r="H252" s="133"/>
      <c r="I252" s="133"/>
      <c r="J252" s="133"/>
      <c r="K252" s="133"/>
      <c r="L252" s="133"/>
      <c r="M252" s="133"/>
      <c r="N252" s="133"/>
      <c r="O252" s="133"/>
      <c r="P252" s="133"/>
    </row>
    <row r="253" spans="3:16">
      <c r="C253" s="133"/>
      <c r="D253" s="133"/>
      <c r="E253" s="133"/>
      <c r="F253" s="133"/>
      <c r="G253" s="133"/>
      <c r="H253" s="133"/>
      <c r="I253" s="133"/>
      <c r="J253" s="133"/>
      <c r="K253" s="133"/>
      <c r="L253" s="133"/>
      <c r="M253" s="133"/>
      <c r="N253" s="133"/>
      <c r="O253" s="133"/>
      <c r="P253" s="133"/>
    </row>
    <row r="254" spans="3:16">
      <c r="C254" s="133"/>
      <c r="D254" s="133"/>
      <c r="E254" s="133"/>
      <c r="F254" s="133"/>
      <c r="G254" s="133"/>
      <c r="H254" s="133"/>
      <c r="I254" s="133"/>
      <c r="J254" s="133"/>
      <c r="K254" s="133"/>
      <c r="L254" s="133"/>
      <c r="M254" s="133"/>
      <c r="N254" s="133"/>
      <c r="O254" s="133"/>
      <c r="P254" s="133"/>
    </row>
    <row r="255" spans="3:16">
      <c r="C255" s="133"/>
      <c r="D255" s="133"/>
      <c r="E255" s="133"/>
      <c r="F255" s="133"/>
      <c r="G255" s="133"/>
      <c r="H255" s="133"/>
      <c r="I255" s="133"/>
      <c r="J255" s="133"/>
      <c r="K255" s="133"/>
      <c r="L255" s="133"/>
      <c r="M255" s="133"/>
      <c r="N255" s="133"/>
      <c r="O255" s="133"/>
      <c r="P255" s="133"/>
    </row>
    <row r="256" spans="3:16">
      <c r="C256" s="133"/>
      <c r="D256" s="133"/>
      <c r="E256" s="133"/>
      <c r="F256" s="133"/>
      <c r="G256" s="133"/>
      <c r="H256" s="133"/>
      <c r="I256" s="133"/>
      <c r="J256" s="133"/>
      <c r="K256" s="133"/>
      <c r="L256" s="133"/>
      <c r="M256" s="133"/>
      <c r="N256" s="133"/>
      <c r="O256" s="133"/>
      <c r="P256" s="133"/>
    </row>
    <row r="257" spans="3:16">
      <c r="C257" s="133"/>
      <c r="D257" s="133"/>
      <c r="E257" s="133"/>
      <c r="F257" s="133"/>
      <c r="G257" s="133"/>
      <c r="H257" s="133"/>
      <c r="I257" s="133"/>
      <c r="J257" s="133"/>
      <c r="K257" s="133"/>
      <c r="L257" s="133"/>
      <c r="M257" s="133"/>
      <c r="N257" s="133"/>
      <c r="O257" s="133"/>
      <c r="P257" s="133"/>
    </row>
    <row r="258" spans="3:16">
      <c r="C258" s="133"/>
      <c r="D258" s="133"/>
      <c r="E258" s="133"/>
      <c r="F258" s="133"/>
      <c r="G258" s="133"/>
      <c r="H258" s="133"/>
      <c r="I258" s="133"/>
      <c r="J258" s="133"/>
      <c r="K258" s="133"/>
      <c r="L258" s="133"/>
      <c r="M258" s="133"/>
      <c r="N258" s="133"/>
      <c r="O258" s="133"/>
      <c r="P258" s="133"/>
    </row>
    <row r="259" spans="3:16">
      <c r="C259" s="133"/>
      <c r="D259" s="133"/>
      <c r="E259" s="133"/>
      <c r="F259" s="133"/>
      <c r="G259" s="133"/>
      <c r="H259" s="133"/>
      <c r="I259" s="133"/>
      <c r="J259" s="133"/>
      <c r="K259" s="133"/>
      <c r="L259" s="133"/>
      <c r="M259" s="133"/>
      <c r="N259" s="133"/>
      <c r="O259" s="133"/>
      <c r="P259" s="133"/>
    </row>
    <row r="260" spans="3:16">
      <c r="C260" s="133"/>
      <c r="D260" s="133"/>
      <c r="E260" s="133"/>
      <c r="F260" s="133"/>
      <c r="G260" s="133"/>
      <c r="H260" s="133"/>
      <c r="I260" s="133"/>
      <c r="J260" s="133"/>
      <c r="K260" s="133"/>
      <c r="L260" s="133"/>
      <c r="M260" s="133"/>
      <c r="N260" s="133"/>
      <c r="O260" s="133"/>
      <c r="P260" s="133"/>
    </row>
    <row r="261" spans="3:16">
      <c r="C261" s="133"/>
      <c r="D261" s="133"/>
      <c r="E261" s="133"/>
      <c r="F261" s="133"/>
      <c r="G261" s="133"/>
      <c r="H261" s="133"/>
      <c r="I261" s="133"/>
      <c r="J261" s="133"/>
      <c r="K261" s="133"/>
      <c r="L261" s="133"/>
      <c r="M261" s="133"/>
      <c r="N261" s="133"/>
      <c r="O261" s="133"/>
      <c r="P261" s="133"/>
    </row>
    <row r="262" spans="3:16">
      <c r="C262" s="133"/>
      <c r="D262" s="133"/>
      <c r="E262" s="133"/>
      <c r="F262" s="133"/>
      <c r="G262" s="133"/>
      <c r="H262" s="133"/>
      <c r="I262" s="133"/>
      <c r="J262" s="133"/>
      <c r="K262" s="133"/>
      <c r="L262" s="133"/>
      <c r="M262" s="133"/>
      <c r="N262" s="133"/>
      <c r="O262" s="133"/>
      <c r="P262" s="133"/>
    </row>
    <row r="263" spans="3:16">
      <c r="C263" s="133"/>
      <c r="D263" s="133"/>
      <c r="E263" s="133"/>
      <c r="F263" s="133"/>
      <c r="G263" s="133"/>
      <c r="H263" s="133"/>
      <c r="I263" s="133"/>
      <c r="J263" s="133"/>
      <c r="K263" s="133"/>
      <c r="L263" s="133"/>
      <c r="M263" s="133"/>
      <c r="N263" s="133"/>
      <c r="O263" s="133"/>
      <c r="P263" s="133"/>
    </row>
    <row r="264" spans="3:16">
      <c r="C264" s="133"/>
      <c r="D264" s="133"/>
      <c r="E264" s="133"/>
      <c r="F264" s="133"/>
      <c r="G264" s="133"/>
      <c r="H264" s="133"/>
      <c r="I264" s="133"/>
      <c r="J264" s="133"/>
      <c r="K264" s="133"/>
      <c r="L264" s="133"/>
      <c r="M264" s="133"/>
      <c r="N264" s="133"/>
      <c r="O264" s="133"/>
      <c r="P264" s="133"/>
    </row>
    <row r="265" spans="3:16">
      <c r="C265" s="133"/>
      <c r="D265" s="133"/>
      <c r="E265" s="133"/>
      <c r="F265" s="133"/>
      <c r="G265" s="133"/>
      <c r="H265" s="133"/>
      <c r="I265" s="133"/>
      <c r="J265" s="133"/>
      <c r="K265" s="133"/>
      <c r="L265" s="133"/>
      <c r="M265" s="133"/>
      <c r="N265" s="133"/>
      <c r="O265" s="133"/>
      <c r="P265" s="133"/>
    </row>
    <row r="266" spans="3:16">
      <c r="C266" s="133"/>
      <c r="D266" s="133"/>
      <c r="E266" s="133"/>
      <c r="F266" s="133"/>
      <c r="G266" s="133"/>
      <c r="H266" s="133"/>
      <c r="I266" s="133"/>
      <c r="J266" s="133"/>
      <c r="K266" s="133"/>
      <c r="L266" s="133"/>
      <c r="M266" s="133"/>
      <c r="N266" s="133"/>
      <c r="O266" s="133"/>
      <c r="P266" s="133"/>
    </row>
    <row r="267" spans="3:16">
      <c r="C267" s="133"/>
      <c r="D267" s="133"/>
      <c r="E267" s="133"/>
      <c r="F267" s="133"/>
      <c r="G267" s="133"/>
      <c r="H267" s="133"/>
      <c r="I267" s="133"/>
      <c r="J267" s="133"/>
      <c r="K267" s="133"/>
      <c r="L267" s="133"/>
      <c r="M267" s="133"/>
      <c r="N267" s="133"/>
      <c r="O267" s="133"/>
      <c r="P267" s="133"/>
    </row>
    <row r="268" spans="3:16">
      <c r="C268" s="133"/>
      <c r="D268" s="133"/>
      <c r="E268" s="133"/>
      <c r="F268" s="133"/>
      <c r="G268" s="133"/>
      <c r="H268" s="133"/>
      <c r="I268" s="133"/>
      <c r="J268" s="133"/>
      <c r="K268" s="133"/>
      <c r="L268" s="133"/>
      <c r="M268" s="133"/>
      <c r="N268" s="133"/>
      <c r="O268" s="133"/>
      <c r="P268" s="133"/>
    </row>
    <row r="269" spans="3:16">
      <c r="C269" s="133"/>
      <c r="D269" s="133"/>
      <c r="E269" s="133"/>
      <c r="F269" s="133"/>
      <c r="G269" s="133"/>
      <c r="H269" s="133"/>
      <c r="I269" s="133"/>
      <c r="J269" s="133"/>
      <c r="K269" s="133"/>
      <c r="L269" s="133"/>
      <c r="M269" s="133"/>
      <c r="N269" s="133"/>
      <c r="O269" s="133"/>
      <c r="P269" s="133"/>
    </row>
    <row r="270" spans="3:16">
      <c r="C270" s="133"/>
      <c r="D270" s="133"/>
      <c r="E270" s="133"/>
      <c r="F270" s="133"/>
      <c r="G270" s="133"/>
      <c r="H270" s="133"/>
      <c r="I270" s="133"/>
      <c r="J270" s="133"/>
      <c r="K270" s="133"/>
      <c r="L270" s="133"/>
      <c r="M270" s="133"/>
      <c r="N270" s="133"/>
      <c r="O270" s="133"/>
      <c r="P270" s="133"/>
    </row>
    <row r="271" spans="3:16">
      <c r="C271" s="133"/>
      <c r="D271" s="133"/>
      <c r="E271" s="133"/>
      <c r="F271" s="133"/>
      <c r="G271" s="133"/>
      <c r="H271" s="133"/>
      <c r="I271" s="133"/>
      <c r="J271" s="133"/>
      <c r="K271" s="133"/>
      <c r="L271" s="133"/>
      <c r="M271" s="133"/>
      <c r="N271" s="133"/>
      <c r="O271" s="133"/>
      <c r="P271" s="133"/>
    </row>
    <row r="272" spans="3:16">
      <c r="C272" s="133"/>
      <c r="D272" s="133"/>
      <c r="E272" s="133"/>
      <c r="F272" s="133"/>
      <c r="G272" s="133"/>
      <c r="H272" s="133"/>
      <c r="I272" s="133"/>
      <c r="J272" s="133"/>
      <c r="K272" s="133"/>
      <c r="L272" s="133"/>
      <c r="M272" s="133"/>
      <c r="N272" s="133"/>
      <c r="O272" s="133"/>
      <c r="P272" s="133"/>
    </row>
    <row r="273" spans="3:16">
      <c r="C273" s="133"/>
      <c r="D273" s="133"/>
      <c r="E273" s="133"/>
      <c r="F273" s="133"/>
      <c r="G273" s="133"/>
      <c r="H273" s="133"/>
      <c r="I273" s="133"/>
      <c r="J273" s="133"/>
      <c r="K273" s="133"/>
      <c r="L273" s="133"/>
      <c r="M273" s="133"/>
      <c r="N273" s="133"/>
      <c r="O273" s="133"/>
      <c r="P273" s="133"/>
    </row>
    <row r="274" spans="3:16">
      <c r="C274" s="133"/>
      <c r="D274" s="133"/>
      <c r="E274" s="133"/>
      <c r="F274" s="133"/>
      <c r="G274" s="133"/>
      <c r="H274" s="133"/>
      <c r="I274" s="133"/>
      <c r="J274" s="133"/>
      <c r="K274" s="133"/>
      <c r="L274" s="133"/>
      <c r="M274" s="133"/>
      <c r="N274" s="133"/>
      <c r="O274" s="133"/>
      <c r="P274" s="133"/>
    </row>
    <row r="275" spans="3:16">
      <c r="C275" s="133"/>
      <c r="D275" s="133"/>
      <c r="E275" s="133"/>
      <c r="F275" s="133"/>
      <c r="G275" s="133"/>
      <c r="H275" s="133"/>
      <c r="I275" s="133"/>
      <c r="J275" s="133"/>
      <c r="K275" s="133"/>
      <c r="L275" s="133"/>
      <c r="M275" s="133"/>
      <c r="N275" s="133"/>
      <c r="O275" s="133"/>
      <c r="P275" s="133"/>
    </row>
    <row r="276" spans="3:16">
      <c r="C276" s="133"/>
      <c r="D276" s="133"/>
      <c r="E276" s="133"/>
      <c r="F276" s="133"/>
      <c r="G276" s="133"/>
      <c r="H276" s="133"/>
      <c r="I276" s="133"/>
      <c r="J276" s="133"/>
      <c r="K276" s="133"/>
      <c r="L276" s="133"/>
      <c r="M276" s="133"/>
      <c r="N276" s="133"/>
      <c r="O276" s="133"/>
      <c r="P276" s="133"/>
    </row>
    <row r="277" spans="3:16">
      <c r="C277" s="133"/>
      <c r="D277" s="133"/>
      <c r="E277" s="133"/>
      <c r="F277" s="133"/>
      <c r="G277" s="133"/>
      <c r="H277" s="133"/>
      <c r="I277" s="133"/>
      <c r="J277" s="133"/>
      <c r="K277" s="133"/>
      <c r="L277" s="133"/>
      <c r="M277" s="133"/>
      <c r="N277" s="133"/>
      <c r="O277" s="133"/>
      <c r="P277" s="133"/>
    </row>
    <row r="278" spans="3:16">
      <c r="C278" s="133"/>
      <c r="D278" s="133"/>
      <c r="E278" s="133"/>
      <c r="F278" s="133"/>
      <c r="G278" s="133"/>
      <c r="H278" s="133"/>
      <c r="I278" s="133"/>
      <c r="J278" s="133"/>
      <c r="K278" s="133"/>
      <c r="L278" s="133"/>
      <c r="M278" s="133"/>
      <c r="N278" s="133"/>
      <c r="O278" s="133"/>
      <c r="P278" s="133"/>
    </row>
    <row r="279" spans="3:16">
      <c r="C279" s="133"/>
      <c r="D279" s="133"/>
      <c r="E279" s="133"/>
      <c r="F279" s="133"/>
      <c r="G279" s="133"/>
      <c r="H279" s="133"/>
      <c r="I279" s="133"/>
      <c r="J279" s="133"/>
      <c r="K279" s="133"/>
      <c r="L279" s="133"/>
      <c r="M279" s="133"/>
      <c r="N279" s="133"/>
      <c r="O279" s="133"/>
      <c r="P279" s="133"/>
    </row>
    <row r="280" spans="3:16">
      <c r="C280" s="133"/>
      <c r="D280" s="133"/>
      <c r="E280" s="133"/>
      <c r="F280" s="133"/>
      <c r="G280" s="133"/>
      <c r="H280" s="133"/>
      <c r="I280" s="133"/>
      <c r="J280" s="133"/>
      <c r="K280" s="133"/>
      <c r="L280" s="133"/>
      <c r="M280" s="133"/>
      <c r="N280" s="133"/>
      <c r="O280" s="133"/>
      <c r="P280" s="133"/>
    </row>
    <row r="281" spans="3:16">
      <c r="C281" s="133"/>
      <c r="D281" s="133"/>
      <c r="E281" s="133"/>
      <c r="F281" s="133"/>
      <c r="G281" s="133"/>
      <c r="H281" s="133"/>
      <c r="I281" s="133"/>
      <c r="J281" s="133"/>
      <c r="K281" s="133"/>
      <c r="L281" s="133"/>
      <c r="M281" s="133"/>
      <c r="N281" s="133"/>
      <c r="O281" s="133"/>
      <c r="P281" s="133"/>
    </row>
    <row r="282" spans="3:16">
      <c r="C282" s="133"/>
      <c r="D282" s="133"/>
      <c r="E282" s="133"/>
      <c r="F282" s="133"/>
      <c r="G282" s="133"/>
      <c r="H282" s="133"/>
      <c r="I282" s="133"/>
      <c r="J282" s="133"/>
      <c r="K282" s="133"/>
      <c r="L282" s="133"/>
      <c r="M282" s="133"/>
      <c r="N282" s="133"/>
      <c r="O282" s="133"/>
      <c r="P282" s="133"/>
    </row>
    <row r="283" spans="3:16">
      <c r="C283" s="133"/>
      <c r="D283" s="133"/>
      <c r="E283" s="133"/>
      <c r="F283" s="133"/>
      <c r="G283" s="133"/>
      <c r="H283" s="133"/>
      <c r="I283" s="133"/>
      <c r="J283" s="133"/>
      <c r="K283" s="133"/>
      <c r="L283" s="133"/>
      <c r="M283" s="133"/>
      <c r="N283" s="133"/>
      <c r="O283" s="133"/>
      <c r="P283" s="133"/>
    </row>
    <row r="284" spans="3:16">
      <c r="C284" s="133"/>
      <c r="D284" s="133"/>
      <c r="E284" s="133"/>
      <c r="F284" s="133"/>
      <c r="G284" s="133"/>
      <c r="H284" s="133"/>
      <c r="I284" s="133"/>
      <c r="J284" s="133"/>
      <c r="K284" s="133"/>
      <c r="L284" s="133"/>
      <c r="M284" s="133"/>
      <c r="N284" s="133"/>
      <c r="O284" s="133"/>
      <c r="P284" s="133"/>
    </row>
    <row r="285" spans="3:16">
      <c r="C285" s="133"/>
      <c r="D285" s="133"/>
      <c r="E285" s="133"/>
      <c r="F285" s="133"/>
      <c r="G285" s="133"/>
      <c r="H285" s="133"/>
      <c r="I285" s="133"/>
      <c r="J285" s="133"/>
      <c r="K285" s="133"/>
      <c r="L285" s="133"/>
      <c r="M285" s="133"/>
      <c r="N285" s="133"/>
      <c r="O285" s="133"/>
      <c r="P285" s="133"/>
    </row>
    <row r="286" spans="3:16">
      <c r="C286" s="133"/>
      <c r="D286" s="133"/>
      <c r="E286" s="133"/>
      <c r="F286" s="133"/>
      <c r="G286" s="133"/>
      <c r="H286" s="133"/>
      <c r="I286" s="133"/>
      <c r="J286" s="133"/>
      <c r="K286" s="133"/>
      <c r="L286" s="133"/>
      <c r="M286" s="133"/>
      <c r="N286" s="133"/>
      <c r="O286" s="133"/>
      <c r="P286" s="133"/>
    </row>
    <row r="287" spans="3:16">
      <c r="C287" s="133"/>
      <c r="D287" s="133"/>
      <c r="E287" s="133"/>
      <c r="F287" s="133"/>
      <c r="G287" s="133"/>
      <c r="H287" s="133"/>
      <c r="I287" s="133"/>
      <c r="J287" s="133"/>
      <c r="K287" s="133"/>
      <c r="L287" s="133"/>
      <c r="M287" s="133"/>
      <c r="N287" s="133"/>
      <c r="O287" s="133"/>
      <c r="P287" s="133"/>
    </row>
    <row r="288" spans="3:16">
      <c r="C288" s="133"/>
      <c r="D288" s="133"/>
      <c r="E288" s="133"/>
      <c r="F288" s="133"/>
      <c r="G288" s="133"/>
      <c r="H288" s="133"/>
      <c r="I288" s="133"/>
      <c r="J288" s="133"/>
      <c r="K288" s="133"/>
      <c r="L288" s="133"/>
      <c r="M288" s="133"/>
      <c r="N288" s="133"/>
      <c r="O288" s="133"/>
      <c r="P288" s="133"/>
    </row>
    <row r="289" spans="3:16">
      <c r="C289" s="133"/>
      <c r="D289" s="133"/>
      <c r="E289" s="133"/>
      <c r="F289" s="133"/>
      <c r="G289" s="133"/>
      <c r="H289" s="133"/>
      <c r="I289" s="133"/>
      <c r="J289" s="133"/>
      <c r="K289" s="133"/>
      <c r="L289" s="133"/>
      <c r="M289" s="133"/>
      <c r="N289" s="133"/>
      <c r="O289" s="133"/>
      <c r="P289" s="133"/>
    </row>
    <row r="290" spans="3:16">
      <c r="C290" s="133"/>
      <c r="D290" s="133"/>
      <c r="E290" s="133"/>
      <c r="F290" s="133"/>
      <c r="G290" s="133"/>
      <c r="H290" s="133"/>
      <c r="I290" s="133"/>
      <c r="J290" s="133"/>
      <c r="K290" s="133"/>
      <c r="L290" s="133"/>
      <c r="M290" s="133"/>
      <c r="N290" s="133"/>
      <c r="O290" s="133"/>
      <c r="P290" s="133"/>
    </row>
    <row r="291" spans="3:16">
      <c r="C291" s="133"/>
      <c r="D291" s="133"/>
      <c r="E291" s="133"/>
      <c r="F291" s="133"/>
      <c r="G291" s="133"/>
      <c r="H291" s="133"/>
      <c r="I291" s="133"/>
      <c r="J291" s="133"/>
      <c r="K291" s="133"/>
      <c r="L291" s="133"/>
      <c r="M291" s="133"/>
      <c r="N291" s="133"/>
      <c r="O291" s="133"/>
      <c r="P291" s="133"/>
    </row>
    <row r="292" spans="3:16">
      <c r="C292" s="133"/>
      <c r="D292" s="133"/>
      <c r="E292" s="133"/>
      <c r="F292" s="133"/>
      <c r="G292" s="133"/>
      <c r="H292" s="133"/>
      <c r="I292" s="133"/>
      <c r="J292" s="133"/>
      <c r="K292" s="133"/>
      <c r="L292" s="133"/>
      <c r="M292" s="133"/>
      <c r="N292" s="133"/>
      <c r="O292" s="133"/>
      <c r="P292" s="133"/>
    </row>
    <row r="293" spans="3:16">
      <c r="C293" s="133"/>
      <c r="D293" s="133"/>
      <c r="E293" s="133"/>
      <c r="F293" s="133"/>
      <c r="G293" s="133"/>
      <c r="H293" s="133"/>
      <c r="I293" s="133"/>
      <c r="J293" s="133"/>
      <c r="K293" s="133"/>
      <c r="L293" s="133"/>
      <c r="M293" s="133"/>
      <c r="N293" s="133"/>
      <c r="O293" s="133"/>
      <c r="P293" s="133"/>
    </row>
    <row r="294" spans="3:16">
      <c r="C294" s="133"/>
      <c r="D294" s="133"/>
      <c r="E294" s="133"/>
      <c r="F294" s="133"/>
      <c r="G294" s="133"/>
      <c r="H294" s="133"/>
      <c r="I294" s="133"/>
      <c r="J294" s="133"/>
      <c r="K294" s="133"/>
      <c r="L294" s="133"/>
      <c r="M294" s="133"/>
      <c r="N294" s="133"/>
      <c r="O294" s="133"/>
      <c r="P294" s="133"/>
    </row>
    <row r="295" spans="3:16">
      <c r="C295" s="133"/>
      <c r="D295" s="133"/>
      <c r="E295" s="133"/>
      <c r="F295" s="133"/>
      <c r="G295" s="133"/>
      <c r="H295" s="133"/>
      <c r="I295" s="133"/>
      <c r="J295" s="133"/>
      <c r="K295" s="133"/>
      <c r="L295" s="133"/>
      <c r="M295" s="133"/>
      <c r="N295" s="133"/>
      <c r="O295" s="133"/>
      <c r="P295" s="133"/>
    </row>
    <row r="296" spans="3:16">
      <c r="C296" s="133"/>
      <c r="D296" s="133"/>
      <c r="E296" s="133"/>
      <c r="F296" s="133"/>
      <c r="G296" s="133"/>
      <c r="H296" s="133"/>
      <c r="I296" s="133"/>
      <c r="J296" s="133"/>
      <c r="K296" s="133"/>
      <c r="L296" s="133"/>
      <c r="M296" s="133"/>
      <c r="N296" s="133"/>
      <c r="O296" s="133"/>
      <c r="P296" s="133"/>
    </row>
    <row r="297" spans="3:16">
      <c r="C297" s="133"/>
      <c r="D297" s="133"/>
      <c r="E297" s="133"/>
      <c r="F297" s="133"/>
      <c r="G297" s="133"/>
      <c r="H297" s="133"/>
      <c r="I297" s="133"/>
      <c r="J297" s="133"/>
      <c r="K297" s="133"/>
      <c r="L297" s="133"/>
      <c r="M297" s="133"/>
      <c r="N297" s="133"/>
      <c r="O297" s="133"/>
      <c r="P297" s="133"/>
    </row>
    <row r="298" spans="3:16">
      <c r="C298" s="133"/>
      <c r="D298" s="133"/>
      <c r="E298" s="133"/>
      <c r="F298" s="133"/>
      <c r="G298" s="133"/>
      <c r="H298" s="133"/>
      <c r="I298" s="133"/>
      <c r="J298" s="133"/>
      <c r="K298" s="133"/>
      <c r="L298" s="133"/>
      <c r="M298" s="133"/>
      <c r="N298" s="133"/>
      <c r="O298" s="133"/>
      <c r="P298" s="133"/>
    </row>
    <row r="299" spans="3:16">
      <c r="C299" s="133"/>
      <c r="D299" s="133"/>
      <c r="E299" s="133"/>
      <c r="F299" s="133"/>
      <c r="G299" s="133"/>
      <c r="H299" s="133"/>
      <c r="I299" s="133"/>
      <c r="J299" s="133"/>
      <c r="K299" s="133"/>
      <c r="L299" s="133"/>
      <c r="M299" s="133"/>
      <c r="N299" s="133"/>
      <c r="O299" s="133"/>
      <c r="P299" s="133"/>
    </row>
    <row r="300" spans="3:16">
      <c r="C300" s="133"/>
      <c r="D300" s="133"/>
      <c r="E300" s="133"/>
      <c r="F300" s="133"/>
      <c r="G300" s="133"/>
      <c r="H300" s="133"/>
      <c r="I300" s="133"/>
      <c r="J300" s="133"/>
      <c r="K300" s="133"/>
      <c r="L300" s="133"/>
      <c r="M300" s="133"/>
      <c r="N300" s="133"/>
      <c r="O300" s="133"/>
      <c r="P300" s="133"/>
    </row>
    <row r="301" spans="3:16">
      <c r="C301" s="133"/>
      <c r="D301" s="133"/>
      <c r="E301" s="133"/>
      <c r="F301" s="133"/>
      <c r="G301" s="133"/>
      <c r="H301" s="133"/>
      <c r="I301" s="133"/>
      <c r="J301" s="133"/>
      <c r="K301" s="133"/>
      <c r="L301" s="133"/>
      <c r="M301" s="133"/>
      <c r="N301" s="133"/>
      <c r="O301" s="133"/>
      <c r="P301" s="133"/>
    </row>
    <row r="302" spans="3:16">
      <c r="C302" s="133"/>
      <c r="D302" s="133"/>
      <c r="E302" s="133"/>
      <c r="F302" s="133"/>
      <c r="G302" s="133"/>
      <c r="H302" s="133"/>
      <c r="I302" s="133"/>
      <c r="J302" s="133"/>
      <c r="K302" s="133"/>
      <c r="L302" s="133"/>
      <c r="M302" s="133"/>
      <c r="N302" s="133"/>
      <c r="O302" s="133"/>
      <c r="P302" s="133"/>
    </row>
    <row r="303" spans="3:16">
      <c r="C303" s="133"/>
      <c r="D303" s="133"/>
      <c r="E303" s="133"/>
      <c r="F303" s="133"/>
      <c r="G303" s="133"/>
      <c r="H303" s="133"/>
      <c r="I303" s="133"/>
      <c r="J303" s="133"/>
      <c r="K303" s="133"/>
      <c r="L303" s="133"/>
      <c r="M303" s="133"/>
      <c r="N303" s="133"/>
      <c r="O303" s="133"/>
      <c r="P303" s="133"/>
    </row>
    <row r="304" spans="3:16">
      <c r="C304" s="133"/>
      <c r="D304" s="133"/>
      <c r="E304" s="133"/>
      <c r="F304" s="133"/>
      <c r="G304" s="133"/>
      <c r="H304" s="133"/>
      <c r="I304" s="133"/>
      <c r="J304" s="133"/>
      <c r="K304" s="133"/>
      <c r="L304" s="133"/>
      <c r="M304" s="133"/>
      <c r="N304" s="133"/>
      <c r="O304" s="133"/>
      <c r="P304" s="133"/>
    </row>
    <row r="305" spans="3:16">
      <c r="C305" s="133"/>
      <c r="D305" s="133"/>
      <c r="E305" s="133"/>
      <c r="F305" s="133"/>
      <c r="G305" s="133"/>
      <c r="H305" s="133"/>
      <c r="I305" s="133"/>
      <c r="J305" s="133"/>
      <c r="K305" s="133"/>
      <c r="L305" s="133"/>
      <c r="M305" s="133"/>
      <c r="N305" s="133"/>
      <c r="O305" s="133"/>
      <c r="P305" s="133"/>
    </row>
    <row r="306" spans="3:16">
      <c r="C306" s="133"/>
      <c r="D306" s="133"/>
      <c r="E306" s="133"/>
      <c r="F306" s="133"/>
      <c r="G306" s="133"/>
      <c r="H306" s="133"/>
      <c r="I306" s="133"/>
      <c r="J306" s="133"/>
      <c r="K306" s="133"/>
      <c r="L306" s="133"/>
      <c r="M306" s="133"/>
      <c r="N306" s="133"/>
      <c r="O306" s="133"/>
      <c r="P306" s="133"/>
    </row>
    <row r="307" spans="3:16">
      <c r="C307" s="133"/>
      <c r="D307" s="133"/>
      <c r="E307" s="133"/>
      <c r="F307" s="133"/>
      <c r="G307" s="133"/>
      <c r="H307" s="133"/>
      <c r="I307" s="133"/>
      <c r="J307" s="133"/>
      <c r="K307" s="133"/>
      <c r="L307" s="133"/>
      <c r="M307" s="133"/>
      <c r="N307" s="133"/>
      <c r="O307" s="133"/>
      <c r="P307" s="133"/>
    </row>
    <row r="308" spans="3:16">
      <c r="C308" s="133"/>
      <c r="D308" s="133"/>
      <c r="E308" s="133"/>
      <c r="F308" s="133"/>
      <c r="G308" s="133"/>
      <c r="H308" s="133"/>
      <c r="I308" s="133"/>
      <c r="J308" s="133"/>
      <c r="K308" s="133"/>
      <c r="L308" s="133"/>
      <c r="M308" s="133"/>
      <c r="N308" s="133"/>
      <c r="O308" s="133"/>
      <c r="P308" s="133"/>
    </row>
    <row r="309" spans="3:16">
      <c r="C309" s="133"/>
      <c r="D309" s="133"/>
      <c r="E309" s="133"/>
      <c r="F309" s="133"/>
      <c r="G309" s="133"/>
      <c r="H309" s="133"/>
      <c r="I309" s="133"/>
      <c r="J309" s="133"/>
      <c r="K309" s="133"/>
      <c r="L309" s="133"/>
      <c r="M309" s="133"/>
      <c r="N309" s="133"/>
      <c r="O309" s="133"/>
      <c r="P309" s="133"/>
    </row>
    <row r="310" spans="3:16">
      <c r="C310" s="133"/>
      <c r="D310" s="133"/>
      <c r="E310" s="133"/>
      <c r="F310" s="133"/>
      <c r="G310" s="133"/>
      <c r="H310" s="133"/>
      <c r="I310" s="133"/>
      <c r="J310" s="133"/>
      <c r="K310" s="133"/>
      <c r="L310" s="133"/>
      <c r="M310" s="133"/>
      <c r="N310" s="133"/>
      <c r="O310" s="133"/>
      <c r="P310" s="133"/>
    </row>
    <row r="311" spans="3:16">
      <c r="C311" s="133"/>
      <c r="D311" s="133"/>
      <c r="E311" s="133"/>
      <c r="F311" s="133"/>
      <c r="G311" s="133"/>
      <c r="H311" s="133"/>
      <c r="I311" s="133"/>
      <c r="J311" s="133"/>
      <c r="K311" s="133"/>
      <c r="L311" s="133"/>
      <c r="M311" s="133"/>
      <c r="N311" s="133"/>
      <c r="O311" s="133"/>
      <c r="P311" s="133"/>
    </row>
    <row r="312" spans="3:16">
      <c r="C312" s="133"/>
      <c r="D312" s="133"/>
      <c r="E312" s="133"/>
      <c r="F312" s="133"/>
      <c r="G312" s="133"/>
      <c r="H312" s="133"/>
      <c r="I312" s="133"/>
      <c r="J312" s="133"/>
      <c r="K312" s="133"/>
      <c r="L312" s="133"/>
      <c r="M312" s="133"/>
      <c r="N312" s="133"/>
      <c r="O312" s="133"/>
      <c r="P312" s="133"/>
    </row>
    <row r="313" spans="3:16">
      <c r="C313" s="133"/>
      <c r="D313" s="133"/>
      <c r="E313" s="133"/>
      <c r="F313" s="133"/>
      <c r="G313" s="133"/>
      <c r="H313" s="133"/>
      <c r="I313" s="133"/>
      <c r="J313" s="133"/>
      <c r="K313" s="133"/>
      <c r="L313" s="133"/>
      <c r="M313" s="133"/>
      <c r="N313" s="133"/>
      <c r="O313" s="133"/>
      <c r="P313" s="133"/>
    </row>
    <row r="314" spans="3:16">
      <c r="C314" s="133"/>
      <c r="D314" s="133"/>
      <c r="E314" s="133"/>
      <c r="F314" s="133"/>
      <c r="G314" s="133"/>
      <c r="H314" s="133"/>
      <c r="I314" s="133"/>
      <c r="J314" s="133"/>
      <c r="K314" s="133"/>
      <c r="L314" s="133"/>
      <c r="M314" s="133"/>
      <c r="N314" s="133"/>
      <c r="O314" s="133"/>
      <c r="P314" s="133"/>
    </row>
    <row r="315" spans="3:16">
      <c r="C315" s="133"/>
      <c r="D315" s="133"/>
      <c r="E315" s="133"/>
      <c r="F315" s="133"/>
      <c r="G315" s="133"/>
      <c r="H315" s="133"/>
      <c r="I315" s="133"/>
      <c r="J315" s="133"/>
      <c r="K315" s="133"/>
      <c r="L315" s="133"/>
      <c r="M315" s="133"/>
      <c r="N315" s="133"/>
      <c r="O315" s="133"/>
      <c r="P315" s="133"/>
    </row>
    <row r="316" spans="3:16">
      <c r="C316" s="133"/>
      <c r="D316" s="133"/>
      <c r="E316" s="133"/>
      <c r="F316" s="133"/>
      <c r="G316" s="133"/>
      <c r="H316" s="133"/>
      <c r="I316" s="133"/>
      <c r="J316" s="133"/>
      <c r="K316" s="133"/>
      <c r="L316" s="133"/>
      <c r="M316" s="133"/>
      <c r="N316" s="133"/>
      <c r="O316" s="133"/>
      <c r="P316" s="133"/>
    </row>
    <row r="317" spans="3:16">
      <c r="C317" s="133"/>
      <c r="D317" s="133"/>
      <c r="E317" s="133"/>
      <c r="F317" s="133"/>
      <c r="G317" s="133"/>
      <c r="H317" s="133"/>
      <c r="I317" s="133"/>
      <c r="J317" s="133"/>
      <c r="K317" s="133"/>
      <c r="L317" s="133"/>
      <c r="M317" s="133"/>
      <c r="N317" s="133"/>
      <c r="O317" s="133"/>
      <c r="P317" s="133"/>
    </row>
    <row r="318" spans="3:16">
      <c r="C318" s="133"/>
      <c r="D318" s="133"/>
      <c r="E318" s="133"/>
      <c r="F318" s="133"/>
      <c r="G318" s="133"/>
      <c r="H318" s="133"/>
      <c r="I318" s="133"/>
      <c r="J318" s="133"/>
      <c r="K318" s="133"/>
      <c r="L318" s="133"/>
      <c r="M318" s="133"/>
      <c r="N318" s="133"/>
      <c r="O318" s="133"/>
      <c r="P318" s="133"/>
    </row>
    <row r="319" spans="3:16">
      <c r="C319" s="133"/>
      <c r="D319" s="133"/>
      <c r="E319" s="133"/>
      <c r="F319" s="133"/>
      <c r="G319" s="133"/>
      <c r="H319" s="133"/>
      <c r="I319" s="133"/>
      <c r="J319" s="133"/>
      <c r="K319" s="133"/>
      <c r="L319" s="133"/>
      <c r="M319" s="133"/>
      <c r="N319" s="133"/>
      <c r="O319" s="133"/>
      <c r="P319" s="133"/>
    </row>
    <row r="320" spans="3:16">
      <c r="C320" s="133"/>
      <c r="D320" s="133"/>
      <c r="E320" s="133"/>
      <c r="F320" s="133"/>
      <c r="G320" s="133"/>
      <c r="H320" s="133"/>
      <c r="I320" s="133"/>
      <c r="J320" s="133"/>
      <c r="K320" s="133"/>
      <c r="L320" s="133"/>
      <c r="M320" s="133"/>
      <c r="N320" s="133"/>
      <c r="O320" s="133"/>
      <c r="P320" s="133"/>
    </row>
    <row r="321" spans="3:16">
      <c r="C321" s="133"/>
      <c r="D321" s="133"/>
      <c r="E321" s="133"/>
      <c r="F321" s="133"/>
      <c r="G321" s="133"/>
      <c r="H321" s="133"/>
      <c r="I321" s="133"/>
      <c r="J321" s="133"/>
      <c r="K321" s="133"/>
      <c r="L321" s="133"/>
      <c r="M321" s="133"/>
      <c r="N321" s="133"/>
      <c r="O321" s="133"/>
      <c r="P321" s="133"/>
    </row>
    <row r="322" spans="3:16">
      <c r="C322" s="133"/>
      <c r="D322" s="133"/>
      <c r="E322" s="133"/>
      <c r="F322" s="133"/>
      <c r="G322" s="133"/>
      <c r="H322" s="133"/>
      <c r="I322" s="133"/>
      <c r="J322" s="133"/>
      <c r="K322" s="133"/>
      <c r="L322" s="133"/>
      <c r="M322" s="133"/>
      <c r="N322" s="133"/>
      <c r="O322" s="133"/>
      <c r="P322" s="133"/>
    </row>
    <row r="323" spans="3:16">
      <c r="C323" s="133"/>
      <c r="D323" s="133"/>
      <c r="E323" s="133"/>
      <c r="F323" s="133"/>
      <c r="G323" s="133"/>
      <c r="H323" s="133"/>
      <c r="I323" s="133"/>
      <c r="J323" s="133"/>
      <c r="K323" s="133"/>
      <c r="L323" s="133"/>
      <c r="M323" s="133"/>
      <c r="N323" s="133"/>
      <c r="O323" s="133"/>
      <c r="P323" s="133"/>
    </row>
    <row r="324" spans="3:16">
      <c r="C324" s="133"/>
      <c r="D324" s="133"/>
      <c r="E324" s="133"/>
      <c r="F324" s="133"/>
      <c r="G324" s="133"/>
      <c r="H324" s="133"/>
      <c r="I324" s="133"/>
      <c r="J324" s="133"/>
      <c r="K324" s="133"/>
      <c r="L324" s="133"/>
      <c r="M324" s="133"/>
      <c r="N324" s="133"/>
      <c r="O324" s="133"/>
      <c r="P324" s="133"/>
    </row>
    <row r="325" spans="3:16">
      <c r="C325" s="133"/>
      <c r="D325" s="133"/>
      <c r="E325" s="133"/>
      <c r="F325" s="133"/>
      <c r="G325" s="133"/>
      <c r="H325" s="133"/>
      <c r="I325" s="133"/>
      <c r="J325" s="133"/>
      <c r="K325" s="133"/>
      <c r="L325" s="133"/>
      <c r="M325" s="133"/>
      <c r="N325" s="133"/>
      <c r="O325" s="133"/>
      <c r="P325" s="133"/>
    </row>
    <row r="326" spans="3:16">
      <c r="C326" s="133"/>
      <c r="D326" s="133"/>
      <c r="E326" s="133"/>
      <c r="F326" s="133"/>
      <c r="G326" s="133"/>
      <c r="H326" s="133"/>
      <c r="I326" s="133"/>
      <c r="J326" s="133"/>
      <c r="K326" s="133"/>
      <c r="L326" s="133"/>
      <c r="M326" s="133"/>
      <c r="N326" s="133"/>
      <c r="O326" s="133"/>
      <c r="P326" s="133"/>
    </row>
    <row r="327" spans="3:16">
      <c r="C327" s="133"/>
      <c r="D327" s="133"/>
      <c r="E327" s="133"/>
      <c r="F327" s="133"/>
      <c r="G327" s="133"/>
      <c r="H327" s="133"/>
      <c r="I327" s="133"/>
      <c r="J327" s="133"/>
      <c r="K327" s="133"/>
      <c r="L327" s="133"/>
      <c r="M327" s="133"/>
      <c r="N327" s="133"/>
      <c r="O327" s="133"/>
      <c r="P327" s="133"/>
    </row>
    <row r="328" spans="3:16">
      <c r="C328" s="133"/>
      <c r="D328" s="133"/>
      <c r="E328" s="133"/>
      <c r="F328" s="133"/>
      <c r="G328" s="133"/>
      <c r="H328" s="133"/>
      <c r="I328" s="133"/>
      <c r="J328" s="133"/>
      <c r="K328" s="133"/>
      <c r="L328" s="133"/>
      <c r="M328" s="133"/>
      <c r="N328" s="133"/>
      <c r="O328" s="133"/>
      <c r="P328" s="133"/>
    </row>
    <row r="329" spans="3:16">
      <c r="C329" s="133"/>
      <c r="D329" s="133"/>
      <c r="E329" s="133"/>
      <c r="F329" s="133"/>
      <c r="G329" s="133"/>
      <c r="H329" s="133"/>
      <c r="I329" s="133"/>
      <c r="J329" s="133"/>
      <c r="K329" s="133"/>
      <c r="L329" s="133"/>
      <c r="M329" s="133"/>
      <c r="N329" s="133"/>
      <c r="O329" s="133"/>
      <c r="P329" s="133"/>
    </row>
    <row r="330" spans="3:16">
      <c r="C330" s="133"/>
      <c r="D330" s="133"/>
      <c r="E330" s="133"/>
      <c r="F330" s="133"/>
      <c r="G330" s="133"/>
      <c r="H330" s="133"/>
      <c r="I330" s="133"/>
      <c r="J330" s="133"/>
      <c r="K330" s="133"/>
      <c r="L330" s="133"/>
      <c r="M330" s="133"/>
      <c r="N330" s="133"/>
      <c r="O330" s="133"/>
      <c r="P330" s="133"/>
    </row>
    <row r="331" spans="3:16">
      <c r="C331" s="133"/>
      <c r="D331" s="133"/>
      <c r="E331" s="133"/>
      <c r="F331" s="133"/>
      <c r="G331" s="133"/>
      <c r="H331" s="133"/>
      <c r="I331" s="133"/>
      <c r="J331" s="133"/>
      <c r="K331" s="133"/>
      <c r="L331" s="133"/>
      <c r="M331" s="133"/>
      <c r="N331" s="133"/>
      <c r="O331" s="133"/>
      <c r="P331" s="133"/>
    </row>
    <row r="332" spans="3:16">
      <c r="C332" s="133"/>
      <c r="D332" s="133"/>
      <c r="E332" s="133"/>
      <c r="F332" s="133"/>
      <c r="G332" s="133"/>
      <c r="H332" s="133"/>
      <c r="I332" s="133"/>
      <c r="J332" s="133"/>
      <c r="K332" s="133"/>
      <c r="L332" s="133"/>
      <c r="M332" s="133"/>
      <c r="N332" s="133"/>
      <c r="O332" s="133"/>
      <c r="P332" s="133"/>
    </row>
    <row r="333" spans="3:16">
      <c r="C333" s="133"/>
      <c r="D333" s="133"/>
      <c r="E333" s="133"/>
      <c r="F333" s="133"/>
      <c r="G333" s="133"/>
      <c r="H333" s="133"/>
      <c r="I333" s="133"/>
      <c r="J333" s="133"/>
      <c r="K333" s="133"/>
      <c r="L333" s="133"/>
      <c r="M333" s="133"/>
      <c r="N333" s="133"/>
      <c r="O333" s="133"/>
      <c r="P333" s="133"/>
    </row>
    <row r="334" spans="3:16">
      <c r="C334" s="133"/>
      <c r="D334" s="133"/>
      <c r="E334" s="133"/>
      <c r="F334" s="133"/>
      <c r="G334" s="133"/>
      <c r="H334" s="133"/>
      <c r="I334" s="133"/>
      <c r="J334" s="133"/>
      <c r="K334" s="133"/>
      <c r="L334" s="133"/>
      <c r="M334" s="133"/>
      <c r="N334" s="133"/>
      <c r="O334" s="133"/>
      <c r="P334" s="133"/>
    </row>
    <row r="335" spans="3:16">
      <c r="C335" s="133"/>
      <c r="D335" s="133"/>
      <c r="E335" s="133"/>
      <c r="F335" s="133"/>
      <c r="G335" s="133"/>
      <c r="H335" s="133"/>
      <c r="I335" s="133"/>
      <c r="J335" s="133"/>
      <c r="K335" s="133"/>
      <c r="L335" s="133"/>
      <c r="M335" s="133"/>
      <c r="N335" s="133"/>
      <c r="O335" s="133"/>
      <c r="P335" s="133"/>
    </row>
    <row r="336" spans="3:16">
      <c r="C336" s="133"/>
      <c r="D336" s="133"/>
      <c r="E336" s="133"/>
      <c r="F336" s="133"/>
      <c r="G336" s="133"/>
      <c r="H336" s="133"/>
      <c r="I336" s="133"/>
      <c r="J336" s="133"/>
      <c r="K336" s="133"/>
      <c r="L336" s="133"/>
      <c r="M336" s="133"/>
      <c r="N336" s="133"/>
      <c r="O336" s="133"/>
      <c r="P336" s="133"/>
    </row>
    <row r="337" spans="3:16">
      <c r="C337" s="133"/>
      <c r="D337" s="133"/>
      <c r="E337" s="133"/>
      <c r="F337" s="133"/>
      <c r="G337" s="133"/>
      <c r="H337" s="133"/>
      <c r="I337" s="133"/>
      <c r="J337" s="133"/>
      <c r="K337" s="133"/>
      <c r="L337" s="133"/>
      <c r="M337" s="133"/>
      <c r="N337" s="133"/>
      <c r="O337" s="133"/>
      <c r="P337" s="133"/>
    </row>
    <row r="338" spans="3:16">
      <c r="C338" s="133"/>
      <c r="D338" s="133"/>
      <c r="E338" s="133"/>
      <c r="F338" s="133"/>
      <c r="G338" s="133"/>
      <c r="H338" s="133"/>
      <c r="I338" s="133"/>
      <c r="J338" s="133"/>
      <c r="K338" s="133"/>
      <c r="L338" s="133"/>
      <c r="M338" s="133"/>
      <c r="N338" s="133"/>
      <c r="O338" s="133"/>
      <c r="P338" s="133"/>
    </row>
    <row r="339" spans="3:16">
      <c r="C339" s="133"/>
      <c r="D339" s="133"/>
      <c r="E339" s="133"/>
      <c r="F339" s="133"/>
      <c r="G339" s="133"/>
      <c r="H339" s="133"/>
      <c r="I339" s="133"/>
      <c r="J339" s="133"/>
      <c r="K339" s="133"/>
      <c r="L339" s="133"/>
      <c r="M339" s="133"/>
      <c r="N339" s="133"/>
      <c r="O339" s="133"/>
      <c r="P339" s="133"/>
    </row>
    <row r="340" spans="3:16">
      <c r="C340" s="133"/>
      <c r="D340" s="133"/>
      <c r="E340" s="133"/>
      <c r="F340" s="133"/>
      <c r="G340" s="133"/>
      <c r="H340" s="133"/>
      <c r="I340" s="133"/>
      <c r="J340" s="133"/>
      <c r="K340" s="133"/>
      <c r="L340" s="133"/>
      <c r="M340" s="133"/>
      <c r="N340" s="133"/>
      <c r="O340" s="133"/>
      <c r="P340" s="133"/>
    </row>
    <row r="341" spans="3:16">
      <c r="C341" s="133"/>
      <c r="D341" s="133"/>
      <c r="E341" s="133"/>
      <c r="F341" s="133"/>
      <c r="G341" s="133"/>
      <c r="H341" s="133"/>
      <c r="I341" s="133"/>
      <c r="J341" s="133"/>
      <c r="K341" s="133"/>
      <c r="L341" s="133"/>
      <c r="M341" s="133"/>
      <c r="N341" s="133"/>
      <c r="O341" s="133"/>
      <c r="P341" s="133"/>
    </row>
    <row r="342" spans="3:16">
      <c r="C342" s="133"/>
      <c r="D342" s="133"/>
      <c r="E342" s="133"/>
      <c r="F342" s="133"/>
      <c r="G342" s="133"/>
      <c r="H342" s="133"/>
      <c r="I342" s="133"/>
      <c r="J342" s="133"/>
      <c r="K342" s="133"/>
      <c r="L342" s="133"/>
      <c r="M342" s="133"/>
      <c r="N342" s="133"/>
      <c r="O342" s="133"/>
      <c r="P342" s="133"/>
    </row>
    <row r="343" spans="3:16">
      <c r="C343" s="133"/>
      <c r="D343" s="133"/>
      <c r="E343" s="133"/>
      <c r="F343" s="133"/>
      <c r="G343" s="133"/>
      <c r="H343" s="133"/>
      <c r="I343" s="133"/>
      <c r="J343" s="133"/>
      <c r="K343" s="133"/>
      <c r="L343" s="133"/>
      <c r="M343" s="133"/>
      <c r="N343" s="133"/>
      <c r="O343" s="133"/>
      <c r="P343" s="133"/>
    </row>
    <row r="344" spans="3:16">
      <c r="C344" s="133"/>
      <c r="D344" s="133"/>
      <c r="E344" s="133"/>
      <c r="F344" s="133"/>
      <c r="G344" s="133"/>
      <c r="H344" s="133"/>
      <c r="I344" s="133"/>
      <c r="J344" s="133"/>
      <c r="K344" s="133"/>
      <c r="L344" s="133"/>
      <c r="M344" s="133"/>
      <c r="N344" s="133"/>
      <c r="O344" s="133"/>
      <c r="P344" s="133"/>
    </row>
    <row r="345" spans="3:16">
      <c r="C345" s="133"/>
      <c r="D345" s="133"/>
      <c r="E345" s="133"/>
      <c r="F345" s="133"/>
      <c r="G345" s="133"/>
      <c r="H345" s="133"/>
      <c r="I345" s="133"/>
      <c r="J345" s="133"/>
      <c r="K345" s="133"/>
      <c r="L345" s="133"/>
      <c r="M345" s="133"/>
      <c r="N345" s="133"/>
      <c r="O345" s="133"/>
      <c r="P345" s="133"/>
    </row>
    <row r="346" spans="3:16">
      <c r="C346" s="133"/>
      <c r="D346" s="133"/>
      <c r="E346" s="133"/>
      <c r="F346" s="133"/>
      <c r="G346" s="133"/>
      <c r="H346" s="133"/>
      <c r="I346" s="133"/>
      <c r="J346" s="133"/>
      <c r="K346" s="133"/>
      <c r="L346" s="133"/>
      <c r="M346" s="133"/>
      <c r="N346" s="133"/>
      <c r="O346" s="133"/>
      <c r="P346" s="133"/>
    </row>
    <row r="347" spans="3:16">
      <c r="C347" s="133"/>
      <c r="D347" s="133"/>
      <c r="E347" s="133"/>
      <c r="F347" s="133"/>
      <c r="G347" s="133"/>
      <c r="H347" s="133"/>
      <c r="I347" s="133"/>
      <c r="J347" s="133"/>
      <c r="K347" s="133"/>
      <c r="L347" s="133"/>
      <c r="M347" s="133"/>
      <c r="N347" s="133"/>
      <c r="O347" s="133"/>
      <c r="P347" s="133"/>
    </row>
    <row r="348" spans="3:16">
      <c r="C348" s="133"/>
      <c r="D348" s="133"/>
      <c r="E348" s="133"/>
      <c r="F348" s="133"/>
      <c r="G348" s="133"/>
      <c r="H348" s="133"/>
      <c r="I348" s="133"/>
      <c r="J348" s="133"/>
      <c r="K348" s="133"/>
      <c r="L348" s="133"/>
      <c r="M348" s="133"/>
      <c r="N348" s="133"/>
      <c r="O348" s="133"/>
      <c r="P348" s="133"/>
    </row>
    <row r="349" spans="3:16">
      <c r="C349" s="133"/>
      <c r="D349" s="133"/>
      <c r="E349" s="133"/>
      <c r="F349" s="133"/>
      <c r="G349" s="133"/>
      <c r="H349" s="133"/>
      <c r="I349" s="133"/>
      <c r="J349" s="133"/>
      <c r="K349" s="133"/>
      <c r="L349" s="133"/>
      <c r="M349" s="133"/>
      <c r="N349" s="133"/>
      <c r="O349" s="133"/>
      <c r="P349" s="133"/>
    </row>
    <row r="350" spans="3:16">
      <c r="C350" s="133"/>
      <c r="D350" s="133"/>
      <c r="E350" s="133"/>
      <c r="F350" s="133"/>
      <c r="G350" s="133"/>
      <c r="H350" s="133"/>
      <c r="I350" s="133"/>
      <c r="J350" s="133"/>
      <c r="K350" s="133"/>
      <c r="L350" s="133"/>
      <c r="M350" s="133"/>
      <c r="N350" s="133"/>
      <c r="O350" s="133"/>
      <c r="P350" s="133"/>
    </row>
    <row r="351" spans="3:16">
      <c r="C351" s="133"/>
      <c r="D351" s="133"/>
      <c r="E351" s="133"/>
      <c r="F351" s="133"/>
      <c r="G351" s="133"/>
      <c r="H351" s="133"/>
      <c r="I351" s="133"/>
      <c r="J351" s="133"/>
      <c r="K351" s="133"/>
      <c r="L351" s="133"/>
      <c r="M351" s="133"/>
      <c r="N351" s="133"/>
      <c r="O351" s="133"/>
      <c r="P351" s="133"/>
    </row>
    <row r="352" spans="3:16">
      <c r="C352" s="133"/>
      <c r="D352" s="133"/>
      <c r="E352" s="133"/>
      <c r="F352" s="133"/>
      <c r="G352" s="133"/>
      <c r="H352" s="133"/>
      <c r="I352" s="133"/>
      <c r="J352" s="133"/>
      <c r="K352" s="133"/>
      <c r="L352" s="133"/>
      <c r="M352" s="133"/>
      <c r="N352" s="133"/>
      <c r="O352" s="133"/>
      <c r="P352" s="133"/>
    </row>
    <row r="353" spans="3:16">
      <c r="C353" s="133"/>
      <c r="D353" s="133"/>
      <c r="E353" s="133"/>
      <c r="F353" s="133"/>
      <c r="G353" s="133"/>
      <c r="H353" s="133"/>
      <c r="I353" s="133"/>
      <c r="J353" s="133"/>
      <c r="K353" s="133"/>
      <c r="L353" s="133"/>
      <c r="M353" s="133"/>
      <c r="N353" s="133"/>
      <c r="O353" s="133"/>
      <c r="P353" s="133"/>
    </row>
    <row r="354" spans="3:16">
      <c r="C354" s="133"/>
      <c r="D354" s="133"/>
      <c r="E354" s="133"/>
      <c r="F354" s="133"/>
      <c r="G354" s="133"/>
      <c r="H354" s="133"/>
      <c r="I354" s="133"/>
      <c r="J354" s="133"/>
      <c r="K354" s="133"/>
      <c r="L354" s="133"/>
      <c r="M354" s="133"/>
      <c r="N354" s="133"/>
      <c r="O354" s="133"/>
      <c r="P354" s="133"/>
    </row>
    <row r="355" spans="3:16">
      <c r="C355" s="133"/>
      <c r="D355" s="133"/>
      <c r="E355" s="133"/>
      <c r="F355" s="133"/>
      <c r="G355" s="133"/>
      <c r="H355" s="133"/>
      <c r="I355" s="133"/>
      <c r="J355" s="133"/>
      <c r="K355" s="133"/>
      <c r="L355" s="133"/>
      <c r="M355" s="133"/>
      <c r="N355" s="133"/>
      <c r="O355" s="133"/>
      <c r="P355" s="133"/>
    </row>
    <row r="356" spans="3:16">
      <c r="C356" s="133"/>
      <c r="D356" s="133"/>
      <c r="E356" s="133"/>
      <c r="F356" s="133"/>
      <c r="G356" s="133"/>
      <c r="H356" s="133"/>
      <c r="I356" s="133"/>
      <c r="J356" s="133"/>
      <c r="K356" s="133"/>
      <c r="L356" s="133"/>
      <c r="M356" s="133"/>
      <c r="N356" s="133"/>
      <c r="O356" s="133"/>
      <c r="P356" s="133"/>
    </row>
    <row r="357" spans="3:16">
      <c r="C357" s="133"/>
      <c r="D357" s="133"/>
      <c r="E357" s="133"/>
      <c r="F357" s="133"/>
      <c r="G357" s="133"/>
      <c r="H357" s="133"/>
      <c r="I357" s="133"/>
      <c r="J357" s="133"/>
      <c r="K357" s="133"/>
      <c r="L357" s="133"/>
      <c r="M357" s="133"/>
      <c r="N357" s="133"/>
      <c r="O357" s="133"/>
      <c r="P357" s="133"/>
    </row>
    <row r="358" spans="3:16">
      <c r="C358" s="133"/>
      <c r="D358" s="133"/>
      <c r="E358" s="133"/>
      <c r="F358" s="133"/>
      <c r="G358" s="133"/>
      <c r="H358" s="133"/>
      <c r="I358" s="133"/>
      <c r="J358" s="133"/>
      <c r="K358" s="133"/>
      <c r="L358" s="133"/>
      <c r="M358" s="133"/>
      <c r="N358" s="133"/>
      <c r="O358" s="133"/>
      <c r="P358" s="133"/>
    </row>
    <row r="359" spans="3:16">
      <c r="C359" s="133"/>
      <c r="D359" s="133"/>
      <c r="E359" s="133"/>
      <c r="F359" s="133"/>
      <c r="G359" s="133"/>
      <c r="H359" s="133"/>
      <c r="I359" s="133"/>
      <c r="J359" s="133"/>
      <c r="K359" s="133"/>
      <c r="L359" s="133"/>
      <c r="M359" s="133"/>
      <c r="N359" s="133"/>
      <c r="O359" s="133"/>
      <c r="P359" s="133"/>
    </row>
    <row r="360" spans="3:16">
      <c r="C360" s="133"/>
      <c r="D360" s="133"/>
      <c r="E360" s="133"/>
      <c r="F360" s="133"/>
      <c r="G360" s="133"/>
      <c r="H360" s="133"/>
      <c r="I360" s="133"/>
      <c r="J360" s="133"/>
      <c r="K360" s="133"/>
      <c r="L360" s="133"/>
      <c r="M360" s="133"/>
      <c r="N360" s="133"/>
      <c r="O360" s="133"/>
      <c r="P360" s="133"/>
    </row>
    <row r="361" spans="3:16">
      <c r="C361" s="133"/>
      <c r="D361" s="133"/>
      <c r="E361" s="133"/>
      <c r="F361" s="133"/>
      <c r="G361" s="133"/>
      <c r="H361" s="133"/>
      <c r="I361" s="133"/>
      <c r="J361" s="133"/>
      <c r="K361" s="133"/>
      <c r="L361" s="133"/>
      <c r="M361" s="133"/>
      <c r="N361" s="133"/>
      <c r="O361" s="133"/>
      <c r="P361" s="133"/>
    </row>
    <row r="362" spans="3:16">
      <c r="C362" s="133"/>
      <c r="D362" s="133"/>
      <c r="E362" s="133"/>
      <c r="F362" s="133"/>
      <c r="G362" s="133"/>
      <c r="H362" s="133"/>
      <c r="I362" s="133"/>
      <c r="J362" s="133"/>
      <c r="K362" s="133"/>
      <c r="L362" s="133"/>
      <c r="M362" s="133"/>
      <c r="N362" s="133"/>
      <c r="O362" s="133"/>
      <c r="P362" s="133"/>
    </row>
    <row r="363" spans="3:16">
      <c r="C363" s="133"/>
      <c r="D363" s="133"/>
      <c r="E363" s="133"/>
      <c r="F363" s="133"/>
      <c r="G363" s="133"/>
      <c r="H363" s="133"/>
      <c r="I363" s="133"/>
      <c r="J363" s="133"/>
      <c r="K363" s="133"/>
      <c r="L363" s="133"/>
      <c r="M363" s="133"/>
      <c r="N363" s="133"/>
      <c r="O363" s="133"/>
      <c r="P363" s="133"/>
    </row>
    <row r="364" spans="3:16">
      <c r="C364" s="133"/>
      <c r="D364" s="133"/>
      <c r="E364" s="133"/>
      <c r="F364" s="133"/>
      <c r="G364" s="133"/>
      <c r="H364" s="133"/>
      <c r="I364" s="133"/>
      <c r="J364" s="133"/>
      <c r="K364" s="133"/>
      <c r="L364" s="133"/>
      <c r="M364" s="133"/>
      <c r="N364" s="133"/>
      <c r="O364" s="133"/>
      <c r="P364" s="133"/>
    </row>
    <row r="365" spans="3:16">
      <c r="C365" s="133"/>
      <c r="D365" s="133"/>
      <c r="E365" s="133"/>
      <c r="F365" s="133"/>
      <c r="G365" s="133"/>
      <c r="H365" s="133"/>
      <c r="I365" s="133"/>
      <c r="J365" s="133"/>
      <c r="K365" s="133"/>
      <c r="L365" s="133"/>
      <c r="M365" s="133"/>
      <c r="N365" s="133"/>
      <c r="O365" s="133"/>
      <c r="P365" s="133"/>
    </row>
    <row r="366" spans="3:16">
      <c r="C366" s="133"/>
      <c r="D366" s="133"/>
      <c r="E366" s="133"/>
      <c r="F366" s="133"/>
      <c r="G366" s="133"/>
      <c r="H366" s="133"/>
      <c r="I366" s="133"/>
      <c r="J366" s="133"/>
      <c r="K366" s="133"/>
      <c r="L366" s="133"/>
      <c r="M366" s="133"/>
      <c r="N366" s="133"/>
      <c r="O366" s="133"/>
      <c r="P366" s="133"/>
    </row>
    <row r="367" spans="3:16">
      <c r="C367" s="133"/>
      <c r="D367" s="133"/>
      <c r="E367" s="133"/>
      <c r="F367" s="133"/>
      <c r="G367" s="133"/>
      <c r="H367" s="133"/>
      <c r="I367" s="133"/>
      <c r="J367" s="133"/>
      <c r="K367" s="133"/>
      <c r="L367" s="133"/>
      <c r="M367" s="133"/>
      <c r="N367" s="133"/>
      <c r="O367" s="133"/>
      <c r="P367" s="133"/>
    </row>
    <row r="368" spans="3:16">
      <c r="C368" s="133"/>
      <c r="D368" s="133"/>
      <c r="E368" s="133"/>
      <c r="F368" s="133"/>
      <c r="G368" s="133"/>
      <c r="H368" s="133"/>
      <c r="I368" s="133"/>
      <c r="J368" s="133"/>
      <c r="K368" s="133"/>
      <c r="L368" s="133"/>
      <c r="M368" s="133"/>
      <c r="N368" s="133"/>
      <c r="O368" s="133"/>
      <c r="P368" s="133"/>
    </row>
    <row r="369" spans="3:16">
      <c r="C369" s="133"/>
      <c r="D369" s="133"/>
      <c r="E369" s="133"/>
      <c r="F369" s="133"/>
      <c r="G369" s="133"/>
      <c r="H369" s="133"/>
      <c r="I369" s="133"/>
      <c r="J369" s="133"/>
      <c r="K369" s="133"/>
      <c r="L369" s="133"/>
      <c r="M369" s="133"/>
      <c r="N369" s="133"/>
      <c r="O369" s="133"/>
      <c r="P369" s="133"/>
    </row>
    <row r="370" spans="3:16">
      <c r="C370" s="133"/>
      <c r="D370" s="133"/>
      <c r="E370" s="133"/>
      <c r="F370" s="133"/>
      <c r="G370" s="133"/>
      <c r="H370" s="133"/>
      <c r="I370" s="133"/>
      <c r="J370" s="133"/>
      <c r="K370" s="133"/>
      <c r="L370" s="133"/>
      <c r="M370" s="133"/>
      <c r="N370" s="133"/>
      <c r="O370" s="133"/>
      <c r="P370" s="133"/>
    </row>
    <row r="371" spans="3:16">
      <c r="C371" s="133"/>
      <c r="D371" s="133"/>
      <c r="E371" s="133"/>
      <c r="F371" s="133"/>
      <c r="G371" s="133"/>
      <c r="H371" s="133"/>
      <c r="I371" s="133"/>
      <c r="J371" s="133"/>
      <c r="K371" s="133"/>
      <c r="L371" s="133"/>
      <c r="M371" s="133"/>
      <c r="N371" s="133"/>
      <c r="O371" s="133"/>
      <c r="P371" s="133"/>
    </row>
    <row r="372" spans="3:16">
      <c r="C372" s="133"/>
      <c r="D372" s="133"/>
      <c r="E372" s="133"/>
      <c r="F372" s="133"/>
      <c r="G372" s="133"/>
      <c r="H372" s="133"/>
      <c r="I372" s="133"/>
      <c r="J372" s="133"/>
      <c r="K372" s="133"/>
      <c r="L372" s="133"/>
      <c r="M372" s="133"/>
      <c r="N372" s="133"/>
      <c r="O372" s="133"/>
      <c r="P372" s="133"/>
    </row>
    <row r="373" spans="3:16">
      <c r="C373" s="133"/>
      <c r="D373" s="133"/>
      <c r="E373" s="133"/>
      <c r="F373" s="133"/>
      <c r="G373" s="133"/>
      <c r="H373" s="133"/>
      <c r="I373" s="133"/>
      <c r="J373" s="133"/>
      <c r="K373" s="133"/>
      <c r="L373" s="133"/>
      <c r="M373" s="133"/>
      <c r="N373" s="133"/>
      <c r="O373" s="133"/>
      <c r="P373" s="133"/>
    </row>
    <row r="374" spans="3:16">
      <c r="C374" s="133"/>
      <c r="D374" s="133"/>
      <c r="E374" s="133"/>
      <c r="F374" s="133"/>
      <c r="G374" s="133"/>
      <c r="H374" s="133"/>
      <c r="I374" s="133"/>
      <c r="J374" s="133"/>
      <c r="K374" s="133"/>
      <c r="L374" s="133"/>
      <c r="M374" s="133"/>
      <c r="N374" s="133"/>
      <c r="O374" s="133"/>
      <c r="P374" s="133"/>
    </row>
    <row r="375" spans="3:16">
      <c r="C375" s="133"/>
      <c r="D375" s="133"/>
      <c r="E375" s="133"/>
      <c r="F375" s="133"/>
      <c r="G375" s="133"/>
      <c r="H375" s="133"/>
      <c r="I375" s="133"/>
      <c r="J375" s="133"/>
      <c r="K375" s="133"/>
      <c r="L375" s="133"/>
      <c r="M375" s="133"/>
      <c r="N375" s="133"/>
      <c r="O375" s="133"/>
      <c r="P375" s="133"/>
    </row>
    <row r="376" spans="3:16">
      <c r="C376" s="133"/>
      <c r="D376" s="133"/>
      <c r="E376" s="133"/>
      <c r="F376" s="133"/>
      <c r="G376" s="133"/>
      <c r="H376" s="133"/>
      <c r="I376" s="133"/>
      <c r="J376" s="133"/>
      <c r="K376" s="133"/>
      <c r="L376" s="133"/>
      <c r="M376" s="133"/>
      <c r="N376" s="133"/>
      <c r="O376" s="133"/>
      <c r="P376" s="133"/>
    </row>
    <row r="377" spans="3:16">
      <c r="C377" s="133"/>
      <c r="D377" s="133"/>
      <c r="E377" s="133"/>
      <c r="F377" s="133"/>
      <c r="G377" s="133"/>
      <c r="H377" s="133"/>
      <c r="I377" s="133"/>
      <c r="J377" s="133"/>
      <c r="K377" s="133"/>
      <c r="L377" s="133"/>
      <c r="M377" s="133"/>
      <c r="N377" s="133"/>
      <c r="O377" s="133"/>
      <c r="P377" s="133"/>
    </row>
    <row r="378" spans="3:16">
      <c r="C378" s="133"/>
      <c r="D378" s="133"/>
      <c r="E378" s="133"/>
      <c r="F378" s="133"/>
      <c r="G378" s="133"/>
      <c r="H378" s="133"/>
      <c r="I378" s="133"/>
      <c r="J378" s="133"/>
      <c r="K378" s="133"/>
      <c r="L378" s="133"/>
      <c r="M378" s="133"/>
      <c r="N378" s="133"/>
      <c r="O378" s="133"/>
      <c r="P378" s="133"/>
    </row>
    <row r="379" spans="3:16">
      <c r="C379" s="133"/>
      <c r="D379" s="133"/>
      <c r="E379" s="133"/>
      <c r="F379" s="133"/>
      <c r="G379" s="133"/>
      <c r="H379" s="133"/>
      <c r="I379" s="133"/>
      <c r="J379" s="133"/>
      <c r="K379" s="133"/>
      <c r="L379" s="133"/>
      <c r="M379" s="133"/>
      <c r="N379" s="133"/>
      <c r="O379" s="133"/>
      <c r="P379" s="133"/>
    </row>
    <row r="380" spans="3:16">
      <c r="C380" s="133"/>
      <c r="D380" s="133"/>
      <c r="E380" s="133"/>
      <c r="F380" s="133"/>
      <c r="G380" s="133"/>
      <c r="H380" s="133"/>
      <c r="I380" s="133"/>
      <c r="J380" s="133"/>
      <c r="K380" s="133"/>
      <c r="L380" s="133"/>
      <c r="M380" s="133"/>
      <c r="N380" s="133"/>
      <c r="O380" s="133"/>
      <c r="P380" s="133"/>
    </row>
    <row r="381" spans="3:16">
      <c r="C381" s="133"/>
      <c r="D381" s="133"/>
      <c r="E381" s="133"/>
      <c r="F381" s="133"/>
      <c r="G381" s="133"/>
      <c r="H381" s="133"/>
      <c r="I381" s="133"/>
      <c r="J381" s="133"/>
      <c r="K381" s="133"/>
      <c r="L381" s="133"/>
      <c r="M381" s="133"/>
      <c r="N381" s="133"/>
      <c r="O381" s="133"/>
      <c r="P381" s="133"/>
    </row>
    <row r="382" spans="3:16">
      <c r="C382" s="133"/>
      <c r="D382" s="133"/>
      <c r="E382" s="133"/>
      <c r="F382" s="133"/>
      <c r="G382" s="133"/>
      <c r="H382" s="133"/>
      <c r="I382" s="133"/>
      <c r="J382" s="133"/>
      <c r="K382" s="133"/>
      <c r="L382" s="133"/>
      <c r="M382" s="133"/>
      <c r="N382" s="133"/>
      <c r="O382" s="133"/>
      <c r="P382" s="133"/>
    </row>
    <row r="383" spans="3:16">
      <c r="C383" s="133"/>
      <c r="D383" s="133"/>
      <c r="E383" s="133"/>
      <c r="F383" s="133"/>
      <c r="G383" s="133"/>
      <c r="H383" s="133"/>
      <c r="I383" s="133"/>
      <c r="J383" s="133"/>
      <c r="K383" s="133"/>
      <c r="L383" s="133"/>
      <c r="M383" s="133"/>
      <c r="N383" s="133"/>
      <c r="O383" s="133"/>
      <c r="P383" s="133"/>
    </row>
    <row r="384" spans="3:16">
      <c r="C384" s="133"/>
      <c r="D384" s="133"/>
      <c r="E384" s="133"/>
      <c r="F384" s="133"/>
      <c r="G384" s="133"/>
      <c r="H384" s="133"/>
      <c r="I384" s="133"/>
      <c r="J384" s="133"/>
      <c r="K384" s="133"/>
      <c r="L384" s="133"/>
      <c r="M384" s="133"/>
      <c r="N384" s="133"/>
      <c r="O384" s="133"/>
      <c r="P384" s="133"/>
    </row>
    <row r="385" spans="3:16">
      <c r="C385" s="133"/>
      <c r="D385" s="133"/>
      <c r="E385" s="133"/>
      <c r="F385" s="133"/>
      <c r="G385" s="133"/>
      <c r="H385" s="133"/>
      <c r="I385" s="133"/>
      <c r="J385" s="133"/>
      <c r="K385" s="133"/>
      <c r="L385" s="133"/>
      <c r="M385" s="133"/>
      <c r="N385" s="133"/>
      <c r="O385" s="133"/>
      <c r="P385" s="133"/>
    </row>
    <row r="386" spans="3:16">
      <c r="C386" s="133"/>
      <c r="D386" s="133"/>
      <c r="E386" s="133"/>
      <c r="F386" s="133"/>
      <c r="G386" s="133"/>
      <c r="H386" s="133"/>
      <c r="I386" s="133"/>
      <c r="J386" s="133"/>
      <c r="K386" s="133"/>
      <c r="L386" s="133"/>
      <c r="M386" s="133"/>
      <c r="N386" s="133"/>
      <c r="O386" s="133"/>
      <c r="P386" s="133"/>
    </row>
    <row r="387" spans="3:16">
      <c r="C387" s="133"/>
      <c r="D387" s="133"/>
      <c r="E387" s="133"/>
      <c r="F387" s="133"/>
      <c r="G387" s="133"/>
      <c r="H387" s="133"/>
      <c r="I387" s="133"/>
      <c r="J387" s="133"/>
      <c r="K387" s="133"/>
      <c r="L387" s="133"/>
      <c r="M387" s="133"/>
      <c r="N387" s="133"/>
      <c r="O387" s="133"/>
      <c r="P387" s="133"/>
    </row>
    <row r="388" spans="3:16">
      <c r="C388" s="133"/>
      <c r="D388" s="133"/>
      <c r="E388" s="133"/>
      <c r="F388" s="133"/>
      <c r="G388" s="133"/>
      <c r="H388" s="133"/>
      <c r="I388" s="133"/>
      <c r="J388" s="133"/>
      <c r="K388" s="133"/>
      <c r="L388" s="133"/>
      <c r="M388" s="133"/>
      <c r="N388" s="133"/>
      <c r="O388" s="133"/>
      <c r="P388" s="133"/>
    </row>
    <row r="389" spans="3:16">
      <c r="C389" s="133"/>
      <c r="D389" s="133"/>
      <c r="E389" s="133"/>
      <c r="F389" s="133"/>
      <c r="G389" s="133"/>
      <c r="H389" s="133"/>
      <c r="I389" s="133"/>
      <c r="J389" s="133"/>
      <c r="K389" s="133"/>
      <c r="L389" s="133"/>
      <c r="M389" s="133"/>
      <c r="N389" s="133"/>
      <c r="O389" s="133"/>
      <c r="P389" s="133"/>
    </row>
    <row r="390" spans="3:16">
      <c r="C390" s="133"/>
      <c r="D390" s="133"/>
      <c r="E390" s="133"/>
      <c r="F390" s="133"/>
      <c r="G390" s="133"/>
      <c r="H390" s="133"/>
      <c r="I390" s="133"/>
      <c r="J390" s="133"/>
      <c r="K390" s="133"/>
      <c r="L390" s="133"/>
      <c r="M390" s="133"/>
      <c r="N390" s="133"/>
      <c r="O390" s="133"/>
      <c r="P390" s="133"/>
    </row>
    <row r="391" spans="3:16">
      <c r="C391" s="133"/>
      <c r="D391" s="133"/>
      <c r="E391" s="133"/>
      <c r="F391" s="133"/>
      <c r="G391" s="133"/>
      <c r="H391" s="133"/>
      <c r="I391" s="133"/>
      <c r="J391" s="133"/>
      <c r="K391" s="133"/>
      <c r="L391" s="133"/>
      <c r="M391" s="133"/>
      <c r="N391" s="133"/>
      <c r="O391" s="133"/>
      <c r="P391" s="133"/>
    </row>
    <row r="392" spans="3:16">
      <c r="C392" s="133"/>
      <c r="D392" s="133"/>
      <c r="E392" s="133"/>
      <c r="F392" s="133"/>
      <c r="G392" s="133"/>
      <c r="H392" s="133"/>
      <c r="I392" s="133"/>
      <c r="J392" s="133"/>
      <c r="K392" s="133"/>
      <c r="L392" s="133"/>
      <c r="M392" s="133"/>
      <c r="N392" s="133"/>
      <c r="O392" s="133"/>
      <c r="P392" s="133"/>
    </row>
    <row r="393" spans="3:16">
      <c r="C393" s="133"/>
      <c r="D393" s="133"/>
      <c r="E393" s="133"/>
      <c r="F393" s="133"/>
      <c r="G393" s="133"/>
      <c r="H393" s="133"/>
      <c r="I393" s="133"/>
      <c r="J393" s="133"/>
      <c r="K393" s="133"/>
      <c r="L393" s="133"/>
      <c r="M393" s="133"/>
      <c r="N393" s="133"/>
      <c r="O393" s="133"/>
      <c r="P393" s="133"/>
    </row>
    <row r="394" spans="3:16">
      <c r="C394" s="133"/>
      <c r="D394" s="133"/>
      <c r="E394" s="133"/>
      <c r="F394" s="133"/>
      <c r="G394" s="133"/>
      <c r="H394" s="133"/>
      <c r="I394" s="133"/>
      <c r="J394" s="133"/>
      <c r="K394" s="133"/>
      <c r="L394" s="133"/>
      <c r="M394" s="133"/>
      <c r="N394" s="133"/>
      <c r="O394" s="133"/>
      <c r="P394" s="133"/>
    </row>
    <row r="395" spans="3:16">
      <c r="C395" s="133"/>
      <c r="D395" s="133"/>
      <c r="E395" s="133"/>
      <c r="F395" s="133"/>
      <c r="G395" s="133"/>
      <c r="H395" s="133"/>
      <c r="I395" s="133"/>
      <c r="J395" s="133"/>
      <c r="K395" s="133"/>
      <c r="L395" s="133"/>
      <c r="M395" s="133"/>
      <c r="N395" s="133"/>
      <c r="O395" s="133"/>
      <c r="P395" s="133"/>
    </row>
    <row r="396" spans="3:16">
      <c r="C396" s="133"/>
      <c r="D396" s="133"/>
      <c r="E396" s="133"/>
      <c r="F396" s="133"/>
      <c r="G396" s="133"/>
      <c r="H396" s="133"/>
      <c r="I396" s="133"/>
      <c r="J396" s="133"/>
      <c r="K396" s="133"/>
      <c r="L396" s="133"/>
      <c r="M396" s="133"/>
      <c r="N396" s="133"/>
      <c r="O396" s="133"/>
      <c r="P396" s="133"/>
    </row>
    <row r="397" spans="3:16">
      <c r="C397" s="133"/>
      <c r="D397" s="133"/>
      <c r="E397" s="133"/>
      <c r="F397" s="133"/>
      <c r="G397" s="133"/>
      <c r="H397" s="133"/>
      <c r="I397" s="133"/>
      <c r="J397" s="133"/>
      <c r="K397" s="133"/>
      <c r="L397" s="133"/>
      <c r="M397" s="133"/>
      <c r="N397" s="133"/>
      <c r="O397" s="133"/>
      <c r="P397" s="133"/>
    </row>
    <row r="398" spans="3:16">
      <c r="C398" s="133"/>
      <c r="D398" s="133"/>
      <c r="E398" s="133"/>
      <c r="F398" s="133"/>
      <c r="G398" s="133"/>
      <c r="H398" s="133"/>
      <c r="I398" s="133"/>
      <c r="J398" s="133"/>
      <c r="K398" s="133"/>
      <c r="L398" s="133"/>
      <c r="M398" s="133"/>
      <c r="N398" s="133"/>
      <c r="O398" s="133"/>
      <c r="P398" s="133"/>
    </row>
    <row r="399" spans="3:16">
      <c r="C399" s="133"/>
      <c r="D399" s="133"/>
      <c r="E399" s="133"/>
      <c r="F399" s="133"/>
      <c r="G399" s="133"/>
      <c r="H399" s="133"/>
      <c r="I399" s="133"/>
      <c r="J399" s="133"/>
      <c r="K399" s="133"/>
      <c r="L399" s="133"/>
      <c r="M399" s="133"/>
      <c r="N399" s="133"/>
      <c r="O399" s="133"/>
      <c r="P399" s="133"/>
    </row>
    <row r="400" spans="3:16">
      <c r="C400" s="133"/>
      <c r="D400" s="133"/>
      <c r="E400" s="133"/>
      <c r="F400" s="133"/>
      <c r="G400" s="133"/>
      <c r="H400" s="133"/>
      <c r="I400" s="133"/>
      <c r="J400" s="133"/>
      <c r="K400" s="133"/>
      <c r="L400" s="133"/>
      <c r="M400" s="133"/>
      <c r="N400" s="133"/>
      <c r="O400" s="133"/>
      <c r="P400" s="133"/>
    </row>
    <row r="401" spans="3:16">
      <c r="C401" s="133"/>
      <c r="D401" s="133"/>
      <c r="E401" s="133"/>
      <c r="F401" s="133"/>
      <c r="G401" s="133"/>
      <c r="H401" s="133"/>
      <c r="I401" s="133"/>
      <c r="J401" s="133"/>
      <c r="K401" s="133"/>
      <c r="L401" s="133"/>
      <c r="M401" s="133"/>
      <c r="N401" s="133"/>
      <c r="O401" s="133"/>
      <c r="P401" s="133"/>
    </row>
    <row r="402" spans="3:16">
      <c r="C402" s="133"/>
      <c r="D402" s="133"/>
      <c r="E402" s="133"/>
      <c r="F402" s="133"/>
      <c r="G402" s="133"/>
      <c r="H402" s="133"/>
      <c r="I402" s="133"/>
      <c r="J402" s="133"/>
      <c r="K402" s="133"/>
      <c r="L402" s="133"/>
      <c r="M402" s="133"/>
      <c r="N402" s="133"/>
      <c r="O402" s="133"/>
      <c r="P402" s="133"/>
    </row>
    <row r="403" spans="3:16">
      <c r="C403" s="133"/>
      <c r="D403" s="133"/>
      <c r="E403" s="133"/>
      <c r="F403" s="133"/>
      <c r="G403" s="133"/>
      <c r="H403" s="133"/>
      <c r="I403" s="133"/>
      <c r="J403" s="133"/>
      <c r="K403" s="133"/>
      <c r="L403" s="133"/>
      <c r="M403" s="133"/>
      <c r="N403" s="133"/>
      <c r="O403" s="133"/>
      <c r="P403" s="133"/>
    </row>
    <row r="404" spans="3:16">
      <c r="C404" s="133"/>
      <c r="D404" s="133"/>
      <c r="E404" s="133"/>
      <c r="F404" s="133"/>
      <c r="G404" s="133"/>
      <c r="H404" s="133"/>
      <c r="I404" s="133"/>
      <c r="J404" s="133"/>
      <c r="K404" s="133"/>
      <c r="L404" s="133"/>
      <c r="M404" s="133"/>
      <c r="N404" s="133"/>
      <c r="O404" s="133"/>
      <c r="P404" s="133"/>
    </row>
    <row r="405" spans="3:16">
      <c r="C405" s="133"/>
      <c r="D405" s="133"/>
      <c r="E405" s="133"/>
      <c r="F405" s="133"/>
      <c r="G405" s="133"/>
      <c r="H405" s="133"/>
      <c r="I405" s="133"/>
      <c r="J405" s="133"/>
      <c r="K405" s="133"/>
      <c r="L405" s="133"/>
      <c r="M405" s="133"/>
      <c r="N405" s="133"/>
      <c r="O405" s="133"/>
      <c r="P405" s="133"/>
    </row>
    <row r="406" spans="3:16">
      <c r="C406" s="133"/>
      <c r="D406" s="133"/>
      <c r="E406" s="133"/>
      <c r="F406" s="133"/>
      <c r="G406" s="133"/>
      <c r="H406" s="133"/>
      <c r="I406" s="133"/>
      <c r="J406" s="133"/>
      <c r="K406" s="133"/>
      <c r="L406" s="133"/>
      <c r="M406" s="133"/>
      <c r="N406" s="133"/>
      <c r="O406" s="133"/>
      <c r="P406" s="133"/>
    </row>
    <row r="407" spans="3:16">
      <c r="C407" s="133"/>
      <c r="D407" s="133"/>
      <c r="E407" s="133"/>
      <c r="F407" s="133"/>
      <c r="G407" s="133"/>
      <c r="H407" s="133"/>
      <c r="I407" s="133"/>
      <c r="J407" s="133"/>
      <c r="K407" s="133"/>
      <c r="L407" s="133"/>
      <c r="M407" s="133"/>
      <c r="N407" s="133"/>
      <c r="O407" s="133"/>
      <c r="P407" s="133"/>
    </row>
    <row r="408" spans="3:16">
      <c r="C408" s="133"/>
      <c r="D408" s="133"/>
      <c r="E408" s="133"/>
      <c r="F408" s="133"/>
      <c r="G408" s="133"/>
      <c r="H408" s="133"/>
      <c r="I408" s="133"/>
      <c r="J408" s="133"/>
      <c r="K408" s="133"/>
      <c r="L408" s="133"/>
      <c r="M408" s="133"/>
      <c r="N408" s="133"/>
      <c r="O408" s="133"/>
      <c r="P408" s="133"/>
    </row>
    <row r="409" spans="3:16">
      <c r="C409" s="133"/>
      <c r="D409" s="133"/>
      <c r="E409" s="133"/>
      <c r="F409" s="133"/>
      <c r="G409" s="133"/>
      <c r="H409" s="133"/>
      <c r="I409" s="133"/>
      <c r="J409" s="133"/>
      <c r="K409" s="133"/>
      <c r="L409" s="133"/>
      <c r="M409" s="133"/>
      <c r="N409" s="133"/>
      <c r="O409" s="133"/>
      <c r="P409" s="133"/>
    </row>
    <row r="410" spans="3:16">
      <c r="C410" s="133"/>
      <c r="D410" s="133"/>
      <c r="E410" s="133"/>
      <c r="F410" s="133"/>
      <c r="G410" s="133"/>
      <c r="H410" s="133"/>
      <c r="I410" s="133"/>
      <c r="J410" s="133"/>
      <c r="K410" s="133"/>
      <c r="L410" s="133"/>
      <c r="M410" s="133"/>
      <c r="N410" s="133"/>
      <c r="O410" s="133"/>
      <c r="P410" s="133"/>
    </row>
    <row r="411" spans="3:16">
      <c r="C411" s="133"/>
      <c r="D411" s="133"/>
      <c r="E411" s="133"/>
      <c r="F411" s="133"/>
      <c r="G411" s="133"/>
      <c r="H411" s="133"/>
      <c r="I411" s="133"/>
      <c r="J411" s="133"/>
      <c r="K411" s="133"/>
      <c r="L411" s="133"/>
      <c r="M411" s="133"/>
      <c r="N411" s="133"/>
      <c r="O411" s="133"/>
      <c r="P411" s="133"/>
    </row>
    <row r="412" spans="3:16">
      <c r="C412" s="133"/>
      <c r="D412" s="133"/>
      <c r="E412" s="133"/>
      <c r="F412" s="133"/>
      <c r="G412" s="133"/>
      <c r="H412" s="133"/>
      <c r="I412" s="133"/>
      <c r="J412" s="133"/>
      <c r="K412" s="133"/>
      <c r="L412" s="133"/>
      <c r="M412" s="133"/>
      <c r="N412" s="133"/>
      <c r="O412" s="133"/>
      <c r="P412" s="133"/>
    </row>
    <row r="413" spans="3:16">
      <c r="C413" s="133"/>
      <c r="D413" s="133"/>
      <c r="E413" s="133"/>
      <c r="F413" s="133"/>
      <c r="G413" s="133"/>
      <c r="H413" s="133"/>
      <c r="I413" s="133"/>
      <c r="J413" s="133"/>
      <c r="K413" s="133"/>
      <c r="L413" s="133"/>
      <c r="M413" s="133"/>
      <c r="N413" s="133"/>
      <c r="O413" s="133"/>
      <c r="P413" s="133"/>
    </row>
    <row r="414" spans="3:16">
      <c r="C414" s="133"/>
      <c r="D414" s="133"/>
      <c r="E414" s="133"/>
      <c r="F414" s="133"/>
      <c r="G414" s="133"/>
      <c r="H414" s="133"/>
      <c r="I414" s="133"/>
      <c r="J414" s="133"/>
      <c r="K414" s="133"/>
      <c r="L414" s="133"/>
      <c r="M414" s="133"/>
      <c r="N414" s="133"/>
      <c r="O414" s="133"/>
      <c r="P414" s="133"/>
    </row>
    <row r="415" spans="3:16">
      <c r="C415" s="133"/>
      <c r="D415" s="133"/>
      <c r="E415" s="133"/>
      <c r="F415" s="133"/>
      <c r="G415" s="133"/>
      <c r="H415" s="133"/>
      <c r="I415" s="133"/>
      <c r="J415" s="133"/>
      <c r="K415" s="133"/>
      <c r="L415" s="133"/>
      <c r="M415" s="133"/>
      <c r="N415" s="133"/>
      <c r="O415" s="133"/>
      <c r="P415" s="133"/>
    </row>
    <row r="416" spans="3:16">
      <c r="C416" s="133"/>
      <c r="D416" s="133"/>
      <c r="E416" s="133"/>
      <c r="F416" s="133"/>
      <c r="G416" s="133"/>
      <c r="H416" s="133"/>
      <c r="I416" s="133"/>
      <c r="J416" s="133"/>
      <c r="K416" s="133"/>
      <c r="L416" s="133"/>
      <c r="M416" s="133"/>
      <c r="N416" s="133"/>
      <c r="O416" s="133"/>
      <c r="P416" s="133"/>
    </row>
    <row r="417" spans="3:16">
      <c r="C417" s="133"/>
      <c r="D417" s="133"/>
      <c r="E417" s="133"/>
      <c r="F417" s="133"/>
      <c r="G417" s="133"/>
      <c r="H417" s="133"/>
      <c r="I417" s="133"/>
      <c r="J417" s="133"/>
      <c r="K417" s="133"/>
      <c r="L417" s="133"/>
      <c r="M417" s="133"/>
      <c r="N417" s="133"/>
      <c r="O417" s="133"/>
      <c r="P417" s="133"/>
    </row>
    <row r="418" spans="3:16">
      <c r="C418" s="133"/>
      <c r="D418" s="133"/>
      <c r="E418" s="133"/>
      <c r="F418" s="133"/>
      <c r="G418" s="133"/>
      <c r="H418" s="133"/>
      <c r="I418" s="133"/>
      <c r="J418" s="133"/>
      <c r="K418" s="133"/>
      <c r="L418" s="133"/>
      <c r="M418" s="133"/>
      <c r="N418" s="133"/>
      <c r="O418" s="133"/>
      <c r="P418" s="133"/>
    </row>
    <row r="419" spans="3:16">
      <c r="C419" s="133"/>
      <c r="D419" s="133"/>
      <c r="E419" s="133"/>
      <c r="F419" s="133"/>
      <c r="G419" s="133"/>
      <c r="H419" s="133"/>
      <c r="I419" s="133"/>
      <c r="J419" s="133"/>
      <c r="K419" s="133"/>
      <c r="L419" s="133"/>
      <c r="M419" s="133"/>
      <c r="N419" s="133"/>
      <c r="O419" s="133"/>
      <c r="P419" s="133"/>
    </row>
    <row r="420" spans="3:16">
      <c r="C420" s="133"/>
      <c r="D420" s="133"/>
      <c r="E420" s="133"/>
      <c r="F420" s="133"/>
      <c r="G420" s="133"/>
      <c r="H420" s="133"/>
      <c r="I420" s="133"/>
      <c r="J420" s="133"/>
      <c r="K420" s="133"/>
      <c r="L420" s="133"/>
      <c r="M420" s="133"/>
      <c r="N420" s="133"/>
      <c r="O420" s="133"/>
      <c r="P420" s="133"/>
    </row>
    <row r="421" spans="3:16">
      <c r="C421" s="133"/>
      <c r="D421" s="133"/>
      <c r="E421" s="133"/>
      <c r="F421" s="133"/>
      <c r="G421" s="133"/>
      <c r="H421" s="133"/>
      <c r="I421" s="133"/>
      <c r="J421" s="133"/>
      <c r="K421" s="133"/>
      <c r="L421" s="133"/>
      <c r="M421" s="133"/>
      <c r="N421" s="133"/>
      <c r="O421" s="133"/>
      <c r="P421" s="133"/>
    </row>
    <row r="422" spans="3:16">
      <c r="C422" s="133"/>
      <c r="D422" s="133"/>
      <c r="E422" s="133"/>
      <c r="F422" s="133"/>
      <c r="G422" s="133"/>
      <c r="H422" s="133"/>
      <c r="I422" s="133"/>
      <c r="J422" s="133"/>
      <c r="K422" s="133"/>
      <c r="L422" s="133"/>
      <c r="M422" s="133"/>
      <c r="N422" s="133"/>
      <c r="O422" s="133"/>
      <c r="P422" s="133"/>
    </row>
    <row r="423" spans="3:16">
      <c r="C423" s="133"/>
      <c r="D423" s="133"/>
      <c r="E423" s="133"/>
      <c r="F423" s="133"/>
      <c r="G423" s="133"/>
      <c r="H423" s="133"/>
      <c r="I423" s="133"/>
      <c r="J423" s="133"/>
      <c r="K423" s="133"/>
      <c r="L423" s="133"/>
      <c r="M423" s="133"/>
      <c r="N423" s="133"/>
      <c r="O423" s="133"/>
      <c r="P423" s="133"/>
    </row>
    <row r="424" spans="3:16">
      <c r="C424" s="133"/>
      <c r="D424" s="133"/>
      <c r="E424" s="133"/>
      <c r="F424" s="133"/>
      <c r="G424" s="133"/>
      <c r="H424" s="133"/>
      <c r="I424" s="133"/>
      <c r="J424" s="133"/>
      <c r="K424" s="133"/>
      <c r="L424" s="133"/>
      <c r="M424" s="133"/>
      <c r="N424" s="133"/>
      <c r="O424" s="133"/>
      <c r="P424" s="133"/>
    </row>
    <row r="425" spans="3:16">
      <c r="C425" s="133"/>
      <c r="D425" s="133"/>
      <c r="E425" s="133"/>
      <c r="F425" s="133"/>
      <c r="G425" s="133"/>
      <c r="H425" s="133"/>
      <c r="I425" s="133"/>
      <c r="J425" s="133"/>
      <c r="K425" s="133"/>
      <c r="L425" s="133"/>
      <c r="M425" s="133"/>
      <c r="N425" s="133"/>
      <c r="O425" s="133"/>
      <c r="P425" s="133"/>
    </row>
    <row r="426" spans="3:16">
      <c r="C426" s="133"/>
      <c r="D426" s="133"/>
      <c r="E426" s="133"/>
      <c r="F426" s="133"/>
      <c r="G426" s="133"/>
      <c r="H426" s="133"/>
      <c r="I426" s="133"/>
      <c r="J426" s="133"/>
      <c r="K426" s="133"/>
      <c r="L426" s="133"/>
      <c r="M426" s="133"/>
      <c r="N426" s="133"/>
      <c r="O426" s="133"/>
      <c r="P426" s="133"/>
    </row>
    <row r="427" spans="3:16">
      <c r="C427" s="133"/>
      <c r="D427" s="133"/>
      <c r="E427" s="133"/>
      <c r="F427" s="133"/>
      <c r="G427" s="133"/>
      <c r="H427" s="133"/>
      <c r="I427" s="133"/>
      <c r="J427" s="133"/>
      <c r="K427" s="133"/>
      <c r="L427" s="133"/>
      <c r="M427" s="133"/>
      <c r="N427" s="133"/>
      <c r="O427" s="133"/>
      <c r="P427" s="133"/>
    </row>
    <row r="428" spans="3:16">
      <c r="C428" s="133"/>
      <c r="D428" s="133"/>
      <c r="E428" s="133"/>
      <c r="F428" s="133"/>
      <c r="G428" s="133"/>
      <c r="H428" s="133"/>
      <c r="I428" s="133"/>
      <c r="J428" s="133"/>
      <c r="K428" s="133"/>
      <c r="L428" s="133"/>
      <c r="M428" s="133"/>
      <c r="N428" s="133"/>
      <c r="O428" s="133"/>
      <c r="P428" s="133"/>
    </row>
    <row r="429" spans="3:16">
      <c r="C429" s="133"/>
      <c r="D429" s="133"/>
      <c r="E429" s="133"/>
      <c r="F429" s="133"/>
      <c r="G429" s="133"/>
      <c r="H429" s="133"/>
      <c r="I429" s="133"/>
      <c r="J429" s="133"/>
      <c r="K429" s="133"/>
      <c r="L429" s="133"/>
      <c r="M429" s="133"/>
      <c r="N429" s="133"/>
      <c r="O429" s="133"/>
      <c r="P429" s="133"/>
    </row>
  </sheetData>
  <sheetProtection algorithmName="SHA-512" hashValue="H9SkIZMUMEGwvD9TUZWxF2npP/kIPqxrpZNvvptWuHRsRG2+J0E00bsiOvVj0bSakSM7aLLaBwpF9xX93g7YXQ==" saltValue="v4Qmy+umfqxj1wFKGprYFQ==" spinCount="100000" sheet="1" objects="1" scenarios="1"/>
  <mergeCells count="176">
    <mergeCell ref="E63:F63"/>
    <mergeCell ref="G63:H63"/>
    <mergeCell ref="I63:J63"/>
    <mergeCell ref="K63:L63"/>
    <mergeCell ref="M63:N63"/>
    <mergeCell ref="O63:P63"/>
    <mergeCell ref="M65:N65"/>
    <mergeCell ref="O65:P65"/>
    <mergeCell ref="C65:D65"/>
    <mergeCell ref="D14:P14"/>
    <mergeCell ref="D15:P15"/>
    <mergeCell ref="D16:P16"/>
    <mergeCell ref="E18:F18"/>
    <mergeCell ref="G18:H18"/>
    <mergeCell ref="K40:L40"/>
    <mergeCell ref="E110:F110"/>
    <mergeCell ref="G110:H110"/>
    <mergeCell ref="I110:J110"/>
    <mergeCell ref="K110:L110"/>
    <mergeCell ref="M110:N110"/>
    <mergeCell ref="O110:P110"/>
    <mergeCell ref="M40:N40"/>
    <mergeCell ref="E109:F109"/>
    <mergeCell ref="G109:H109"/>
    <mergeCell ref="I109:J109"/>
    <mergeCell ref="K109:L109"/>
    <mergeCell ref="M109:N109"/>
    <mergeCell ref="E54:F54"/>
    <mergeCell ref="G54:H54"/>
    <mergeCell ref="D49:P49"/>
    <mergeCell ref="E65:F65"/>
    <mergeCell ref="D58:P58"/>
    <mergeCell ref="D59:P59"/>
    <mergeCell ref="C110:D110"/>
    <mergeCell ref="K18:L18"/>
    <mergeCell ref="D2:P2"/>
    <mergeCell ref="D3:P3"/>
    <mergeCell ref="D4:P4"/>
    <mergeCell ref="D5:P5"/>
    <mergeCell ref="E7:F7"/>
    <mergeCell ref="G7:H7"/>
    <mergeCell ref="D35:P35"/>
    <mergeCell ref="D36:P36"/>
    <mergeCell ref="I7:J7"/>
    <mergeCell ref="O7:P7"/>
    <mergeCell ref="K7:L7"/>
    <mergeCell ref="M7:N7"/>
    <mergeCell ref="E9:F9"/>
    <mergeCell ref="G9:H9"/>
    <mergeCell ref="I9:J9"/>
    <mergeCell ref="K9:L9"/>
    <mergeCell ref="M9:N9"/>
    <mergeCell ref="O9:P9"/>
    <mergeCell ref="I31:J31"/>
    <mergeCell ref="M98:N98"/>
    <mergeCell ref="O98:P98"/>
    <mergeCell ref="D13:P13"/>
    <mergeCell ref="E20:F20"/>
    <mergeCell ref="M18:N18"/>
    <mergeCell ref="K20:L20"/>
    <mergeCell ref="M20:N20"/>
    <mergeCell ref="O20:P20"/>
    <mergeCell ref="O18:P18"/>
    <mergeCell ref="I18:J18"/>
    <mergeCell ref="D38:P38"/>
    <mergeCell ref="E40:F40"/>
    <mergeCell ref="G40:H40"/>
    <mergeCell ref="I40:J40"/>
    <mergeCell ref="D37:P37"/>
    <mergeCell ref="G20:H20"/>
    <mergeCell ref="I20:J20"/>
    <mergeCell ref="D24:P24"/>
    <mergeCell ref="D25:P25"/>
    <mergeCell ref="D26:P26"/>
    <mergeCell ref="D27:P27"/>
    <mergeCell ref="E29:F29"/>
    <mergeCell ref="G29:H29"/>
    <mergeCell ref="I29:J29"/>
    <mergeCell ref="O31:P31"/>
    <mergeCell ref="K29:L29"/>
    <mergeCell ref="M29:N29"/>
    <mergeCell ref="O29:P29"/>
    <mergeCell ref="K31:L31"/>
    <mergeCell ref="O40:P40"/>
    <mergeCell ref="M52:N52"/>
    <mergeCell ref="O52:P52"/>
    <mergeCell ref="I54:J54"/>
    <mergeCell ref="K54:L54"/>
    <mergeCell ref="M54:N54"/>
    <mergeCell ref="O54:P54"/>
    <mergeCell ref="D47:P47"/>
    <mergeCell ref="I42:J42"/>
    <mergeCell ref="K42:L42"/>
    <mergeCell ref="M42:N42"/>
    <mergeCell ref="O42:P42"/>
    <mergeCell ref="E42:F42"/>
    <mergeCell ref="G42:H42"/>
    <mergeCell ref="M31:N31"/>
    <mergeCell ref="E31:F31"/>
    <mergeCell ref="G31:H31"/>
    <mergeCell ref="O109:P109"/>
    <mergeCell ref="D102:P102"/>
    <mergeCell ref="D103:P103"/>
    <mergeCell ref="D104:P104"/>
    <mergeCell ref="D105:P105"/>
    <mergeCell ref="E107:F107"/>
    <mergeCell ref="G107:H107"/>
    <mergeCell ref="I107:J107"/>
    <mergeCell ref="K107:L107"/>
    <mergeCell ref="M107:N107"/>
    <mergeCell ref="O107:P107"/>
    <mergeCell ref="I85:J85"/>
    <mergeCell ref="K85:L85"/>
    <mergeCell ref="O43:P43"/>
    <mergeCell ref="D50:P50"/>
    <mergeCell ref="E52:F52"/>
    <mergeCell ref="G52:H52"/>
    <mergeCell ref="I52:J52"/>
    <mergeCell ref="K52:L52"/>
    <mergeCell ref="E43:F43"/>
    <mergeCell ref="G43:H43"/>
    <mergeCell ref="I43:J43"/>
    <mergeCell ref="K43:L43"/>
    <mergeCell ref="M43:N43"/>
    <mergeCell ref="M85:N85"/>
    <mergeCell ref="O85:P85"/>
    <mergeCell ref="D69:P69"/>
    <mergeCell ref="D70:P70"/>
    <mergeCell ref="D71:P71"/>
    <mergeCell ref="D48:P48"/>
    <mergeCell ref="G65:H65"/>
    <mergeCell ref="I65:J65"/>
    <mergeCell ref="K65:L65"/>
    <mergeCell ref="D60:P60"/>
    <mergeCell ref="D61:P61"/>
    <mergeCell ref="C98:D98"/>
    <mergeCell ref="C87:D87"/>
    <mergeCell ref="E98:F98"/>
    <mergeCell ref="G98:H98"/>
    <mergeCell ref="D91:P91"/>
    <mergeCell ref="D92:P92"/>
    <mergeCell ref="D93:P93"/>
    <mergeCell ref="D94:P94"/>
    <mergeCell ref="E87:F87"/>
    <mergeCell ref="E96:F96"/>
    <mergeCell ref="G96:H96"/>
    <mergeCell ref="I96:J96"/>
    <mergeCell ref="K96:L96"/>
    <mergeCell ref="M96:N96"/>
    <mergeCell ref="O96:P96"/>
    <mergeCell ref="I98:J98"/>
    <mergeCell ref="K98:L98"/>
    <mergeCell ref="O76:P76"/>
    <mergeCell ref="D72:P72"/>
    <mergeCell ref="E74:F74"/>
    <mergeCell ref="G74:H74"/>
    <mergeCell ref="I74:J74"/>
    <mergeCell ref="K74:L74"/>
    <mergeCell ref="M74:N74"/>
    <mergeCell ref="O74:P74"/>
    <mergeCell ref="G87:H87"/>
    <mergeCell ref="I87:J87"/>
    <mergeCell ref="K87:L87"/>
    <mergeCell ref="M87:N87"/>
    <mergeCell ref="O87:P87"/>
    <mergeCell ref="E76:F76"/>
    <mergeCell ref="G76:H76"/>
    <mergeCell ref="I76:J76"/>
    <mergeCell ref="K76:L76"/>
    <mergeCell ref="M76:N76"/>
    <mergeCell ref="D80:P80"/>
    <mergeCell ref="D81:P81"/>
    <mergeCell ref="D82:P82"/>
    <mergeCell ref="D83:P83"/>
    <mergeCell ref="E85:F85"/>
    <mergeCell ref="G85:H85"/>
  </mergeCells>
  <conditionalFormatting sqref="E109:P110">
    <cfRule type="cellIs" dxfId="25" priority="33" operator="greaterThan">
      <formula>0</formula>
    </cfRule>
  </conditionalFormatting>
  <conditionalFormatting sqref="E42:P43">
    <cfRule type="containsBlanks" dxfId="24" priority="25">
      <formula>LEN(TRIM(E42))=0</formula>
    </cfRule>
  </conditionalFormatting>
  <conditionalFormatting sqref="E31:P31">
    <cfRule type="cellIs" dxfId="23" priority="8" operator="lessThan">
      <formula>E43</formula>
    </cfRule>
    <cfRule type="cellIs" dxfId="22" priority="9" operator="greaterThan">
      <formula>E43</formula>
    </cfRule>
    <cfRule type="cellIs" dxfId="21" priority="21" operator="greaterThan">
      <formula>E42</formula>
    </cfRule>
    <cfRule type="cellIs" dxfId="20" priority="22" operator="lessThan">
      <formula>E42</formula>
    </cfRule>
  </conditionalFormatting>
  <conditionalFormatting sqref="E76:P76">
    <cfRule type="cellIs" dxfId="19" priority="13" operator="lessThan">
      <formula>1</formula>
    </cfRule>
    <cfRule type="cellIs" dxfId="18" priority="14" operator="greaterThanOrEqual">
      <formula>1</formula>
    </cfRule>
  </conditionalFormatting>
  <conditionalFormatting sqref="E87 G87 I87 K87 M87 O87">
    <cfRule type="cellIs" dxfId="17" priority="12" operator="greaterThan">
      <formula>0.8</formula>
    </cfRule>
    <cfRule type="cellIs" dxfId="16" priority="23" operator="lessThan">
      <formula>0</formula>
    </cfRule>
    <cfRule type="cellIs" dxfId="15" priority="24" operator="between">
      <formula>0</formula>
      <formula>0.8</formula>
    </cfRule>
  </conditionalFormatting>
  <conditionalFormatting sqref="E98 G98 I98 K98 M98 O98">
    <cfRule type="cellIs" dxfId="14" priority="11" operator="greaterThan">
      <formula>0.5</formula>
    </cfRule>
    <cfRule type="cellIs" dxfId="13" priority="15" operator="lessThan">
      <formula>0</formula>
    </cfRule>
    <cfRule type="cellIs" dxfId="12" priority="16" operator="between">
      <formula>0</formula>
      <formula>0.5</formula>
    </cfRule>
  </conditionalFormatting>
  <conditionalFormatting sqref="E109:P110">
    <cfRule type="cellIs" dxfId="11" priority="32" operator="lessThan">
      <formula>0</formula>
    </cfRule>
  </conditionalFormatting>
  <conditionalFormatting sqref="E65:P65">
    <cfRule type="cellIs" dxfId="10" priority="5" operator="greaterThan">
      <formula>0.5</formula>
    </cfRule>
    <cfRule type="cellIs" dxfId="9" priority="6" operator="lessThan">
      <formula>0</formula>
    </cfRule>
    <cfRule type="cellIs" dxfId="8" priority="7" operator="greaterThan">
      <formula>0</formula>
    </cfRule>
  </conditionalFormatting>
  <conditionalFormatting sqref="E9:P9 E20:P20 E31:P31 E54:P54">
    <cfRule type="containsErrors" dxfId="7" priority="4">
      <formula>ISERROR(E9)</formula>
    </cfRule>
  </conditionalFormatting>
  <conditionalFormatting sqref="E65:P65 E76:P76">
    <cfRule type="containsErrors" dxfId="6" priority="34">
      <formula>ISERROR(E65)</formula>
    </cfRule>
  </conditionalFormatting>
  <conditionalFormatting sqref="E87:P87 E98:P98">
    <cfRule type="containsErrors" dxfId="5" priority="2">
      <formula>ISERROR(E87)</formula>
    </cfRule>
  </conditionalFormatting>
  <conditionalFormatting sqref="E110:P110">
    <cfRule type="containsErrors" dxfId="4" priority="35">
      <formula>ISERROR(E110)</formula>
    </cfRule>
  </conditionalFormatting>
  <pageMargins left="0.7" right="0.7" top="0.75" bottom="0.75" header="0.3" footer="0.3"/>
  <pageSetup paperSize="9" scale="60" fitToHeight="3" orientation="portrait" r:id="rId1"/>
  <rowBreaks count="2" manualBreakCount="2">
    <brk id="68" min="1" max="16" man="1"/>
    <brk id="78" min="1" max="16" man="1"/>
  </rowBreaks>
  <ignoredErrors>
    <ignoredError sqref="G9:P9 G20:P20 G54:P54 G31:P31 E110" evalError="1"/>
  </ignoredError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theme="3"/>
  </sheetPr>
  <dimension ref="A1:AV236"/>
  <sheetViews>
    <sheetView view="pageBreakPreview" topLeftCell="B1" zoomScaleNormal="100" zoomScaleSheetLayoutView="100" workbookViewId="0">
      <selection activeCell="B95" sqref="B95"/>
    </sheetView>
  </sheetViews>
  <sheetFormatPr baseColWidth="10" defaultRowHeight="16.5"/>
  <cols>
    <col min="1" max="1" width="45.140625" style="133" hidden="1" customWidth="1"/>
    <col min="2" max="2" width="5.7109375" style="133" customWidth="1"/>
    <col min="3" max="3" width="20" style="151" bestFit="1" customWidth="1"/>
    <col min="4" max="4" width="25.28515625" style="151" customWidth="1"/>
    <col min="5" max="5" width="13.7109375" style="151" bestFit="1" customWidth="1"/>
    <col min="6" max="6" width="3.28515625" style="151" customWidth="1"/>
    <col min="7" max="7" width="13.7109375" style="151" bestFit="1" customWidth="1"/>
    <col min="8" max="8" width="3.28515625" style="151" customWidth="1"/>
    <col min="9" max="9" width="13.7109375" style="151" customWidth="1"/>
    <col min="10" max="10" width="3.28515625" style="151" customWidth="1"/>
    <col min="11" max="11" width="13.7109375" style="151" customWidth="1"/>
    <col min="12" max="12" width="3.28515625" style="151" customWidth="1"/>
    <col min="13" max="13" width="13.7109375" style="151" customWidth="1"/>
    <col min="14" max="14" width="3.28515625" style="151" customWidth="1"/>
    <col min="15" max="15" width="13.7109375" style="151" customWidth="1"/>
    <col min="16" max="16" width="3.28515625" style="133" customWidth="1"/>
    <col min="17" max="48" width="11.42578125" style="133"/>
    <col min="49" max="16384" width="11.42578125" style="151"/>
  </cols>
  <sheetData>
    <row r="1" spans="3:22">
      <c r="C1" s="133"/>
      <c r="D1" s="133"/>
      <c r="E1" s="133"/>
      <c r="F1" s="133"/>
      <c r="G1" s="133"/>
      <c r="H1" s="133"/>
      <c r="I1" s="133"/>
      <c r="J1" s="133"/>
      <c r="K1" s="133"/>
      <c r="L1" s="133"/>
      <c r="M1" s="133"/>
      <c r="N1" s="133"/>
      <c r="O1" s="133"/>
    </row>
    <row r="2" spans="3:22" ht="16.5" customHeight="1">
      <c r="C2" s="133"/>
      <c r="D2" s="207"/>
      <c r="E2" s="2304" t="s">
        <v>570</v>
      </c>
      <c r="F2" s="2305"/>
      <c r="G2" s="2305"/>
      <c r="H2" s="2305"/>
      <c r="I2" s="2305"/>
      <c r="J2" s="2305"/>
      <c r="K2" s="2305"/>
      <c r="L2" s="2305"/>
      <c r="M2" s="2305"/>
      <c r="N2" s="2305"/>
      <c r="O2" s="2306"/>
      <c r="P2" s="207"/>
      <c r="Q2" s="207"/>
      <c r="R2" s="207"/>
      <c r="S2" s="207"/>
      <c r="T2" s="207"/>
    </row>
    <row r="3" spans="3:22" ht="16.5" customHeight="1">
      <c r="C3" s="133"/>
      <c r="D3" s="207"/>
      <c r="E3" s="2307"/>
      <c r="F3" s="2308"/>
      <c r="G3" s="2308"/>
      <c r="H3" s="2308"/>
      <c r="I3" s="2308"/>
      <c r="J3" s="2308"/>
      <c r="K3" s="2308"/>
      <c r="L3" s="2308"/>
      <c r="M3" s="2308"/>
      <c r="N3" s="2308"/>
      <c r="O3" s="2309"/>
      <c r="P3" s="207"/>
      <c r="Q3" s="207"/>
      <c r="R3" s="207"/>
      <c r="S3" s="207"/>
      <c r="T3" s="207"/>
    </row>
    <row r="4" spans="3:22" s="133" customFormat="1">
      <c r="C4" s="121"/>
      <c r="D4" s="121"/>
      <c r="E4" s="121"/>
      <c r="F4" s="121"/>
      <c r="G4" s="121"/>
      <c r="H4" s="121"/>
      <c r="I4" s="121"/>
      <c r="J4" s="121"/>
    </row>
    <row r="5" spans="3:22" s="133" customFormat="1">
      <c r="C5" s="174"/>
      <c r="D5" s="876"/>
      <c r="E5" s="2051">
        <f>'Bilan financier'!$E$17</f>
        <v>2019</v>
      </c>
      <c r="F5" s="2051"/>
      <c r="G5" s="2051">
        <f>'Bilan financier'!$E$17+1</f>
        <v>2020</v>
      </c>
      <c r="H5" s="2051"/>
      <c r="I5" s="2051">
        <f>'Bilan financier'!$E$17+2</f>
        <v>2021</v>
      </c>
      <c r="J5" s="2051"/>
      <c r="K5" s="2051">
        <f>'Bilan financier'!$E$17+3</f>
        <v>2022</v>
      </c>
      <c r="L5" s="2051"/>
      <c r="M5" s="2051">
        <f>'Bilan financier'!$E$17+4</f>
        <v>2023</v>
      </c>
      <c r="N5" s="2051"/>
      <c r="O5" s="2051">
        <f>'Bilan financier'!$E$17+5</f>
        <v>2024</v>
      </c>
      <c r="P5" s="2051"/>
    </row>
    <row r="6" spans="3:22" s="133" customFormat="1" ht="5.0999999999999996" customHeight="1">
      <c r="C6" s="174"/>
      <c r="D6" s="876"/>
      <c r="E6" s="876"/>
      <c r="F6" s="876"/>
      <c r="G6" s="876"/>
      <c r="H6" s="876"/>
      <c r="I6" s="876"/>
      <c r="J6" s="876"/>
    </row>
    <row r="7" spans="3:22" s="133" customFormat="1" ht="24.95" customHeight="1">
      <c r="C7" s="2045" t="s">
        <v>380</v>
      </c>
      <c r="D7" s="2046"/>
      <c r="E7" s="2047" t="str">
        <f>'Analyse prospective (1)'!$E$9</f>
        <v/>
      </c>
      <c r="F7" s="2048"/>
      <c r="G7" s="2047" t="e">
        <f>'Analyse prospective (1)'!$G$9</f>
        <v>#VALUE!</v>
      </c>
      <c r="H7" s="2048"/>
      <c r="I7" s="2047" t="e">
        <f>'Analyse prospective (1)'!$I$9</f>
        <v>#VALUE!</v>
      </c>
      <c r="J7" s="2049"/>
      <c r="K7" s="2054" t="e">
        <f>'Analyse prospective (1)'!$K$9</f>
        <v>#VALUE!</v>
      </c>
      <c r="L7" s="2055"/>
      <c r="M7" s="2054" t="e">
        <f>'Analyse prospective (1)'!$M$9</f>
        <v>#VALUE!</v>
      </c>
      <c r="N7" s="2055"/>
      <c r="O7" s="2054" t="e">
        <f>'Analyse prospective (1)'!$O$9</f>
        <v>#VALUE!</v>
      </c>
      <c r="P7" s="2055"/>
    </row>
    <row r="8" spans="3:22" s="133" customFormat="1" ht="24.95" customHeight="1">
      <c r="C8" s="2050" t="s">
        <v>381</v>
      </c>
      <c r="D8" s="2046"/>
      <c r="E8" s="2047" t="str">
        <f>'Analyse prospective (1)'!$E$20</f>
        <v/>
      </c>
      <c r="F8" s="2048"/>
      <c r="G8" s="2047" t="e">
        <f>'Analyse prospective (1)'!$G$20</f>
        <v>#VALUE!</v>
      </c>
      <c r="H8" s="2048"/>
      <c r="I8" s="2047" t="e">
        <f>'Analyse prospective (1)'!$I$20</f>
        <v>#VALUE!</v>
      </c>
      <c r="J8" s="2049"/>
      <c r="K8" s="2054" t="e">
        <f>'Analyse prospective (1)'!$K$20</f>
        <v>#VALUE!</v>
      </c>
      <c r="L8" s="2055"/>
      <c r="M8" s="2054" t="e">
        <f>'Analyse prospective (1)'!$M$20</f>
        <v>#VALUE!</v>
      </c>
      <c r="N8" s="2055"/>
      <c r="O8" s="2054" t="e">
        <f>'Analyse prospective (1)'!$O$20</f>
        <v>#VALUE!</v>
      </c>
      <c r="P8" s="2055"/>
    </row>
    <row r="9" spans="3:22" s="133" customFormat="1" ht="24.95" customHeight="1">
      <c r="C9" s="2050" t="s">
        <v>391</v>
      </c>
      <c r="D9" s="2046"/>
      <c r="E9" s="2052">
        <f>'Analyse prospective (1)'!$E$31</f>
        <v>0</v>
      </c>
      <c r="F9" s="2053"/>
      <c r="G9" s="2052" t="e">
        <f>'Analyse prospective (1)'!$G$31</f>
        <v>#VALUE!</v>
      </c>
      <c r="H9" s="2053"/>
      <c r="I9" s="2052" t="e">
        <f>'Analyse prospective (1)'!$I$31</f>
        <v>#VALUE!</v>
      </c>
      <c r="J9" s="2053"/>
      <c r="K9" s="2052" t="e">
        <f>'Analyse prospective (1)'!$K$31</f>
        <v>#VALUE!</v>
      </c>
      <c r="L9" s="2053"/>
      <c r="M9" s="2052" t="e">
        <f>'Analyse prospective (1)'!$M$31</f>
        <v>#VALUE!</v>
      </c>
      <c r="N9" s="2053"/>
      <c r="O9" s="2052" t="e">
        <f>'Analyse prospective (1)'!$O$31</f>
        <v>#VALUE!</v>
      </c>
      <c r="P9" s="2053"/>
    </row>
    <row r="10" spans="3:22" s="133" customFormat="1" ht="24.95" customHeight="1">
      <c r="C10" s="2050" t="s">
        <v>669</v>
      </c>
      <c r="D10" s="2046"/>
      <c r="E10" s="2052">
        <f>'Plan pluriannuel de financement'!$C$94</f>
        <v>0</v>
      </c>
      <c r="F10" s="2053"/>
      <c r="G10" s="2052">
        <f>'Plan pluriannuel de financement'!$C$95</f>
        <v>0</v>
      </c>
      <c r="H10" s="2053"/>
      <c r="I10" s="2052">
        <f>'Plan pluriannuel de financement'!$D$95</f>
        <v>0</v>
      </c>
      <c r="J10" s="2053"/>
      <c r="K10" s="2052">
        <f>'Plan pluriannuel de financement'!$F$95</f>
        <v>0</v>
      </c>
      <c r="L10" s="2053"/>
      <c r="M10" s="2052">
        <f>'Plan pluriannuel de financement'!$H$95</f>
        <v>0</v>
      </c>
      <c r="N10" s="2053"/>
      <c r="O10" s="2052">
        <f>'Plan pluriannuel de financement'!$J$95</f>
        <v>0</v>
      </c>
      <c r="P10" s="2053"/>
    </row>
    <row r="11" spans="3:22" s="133" customFormat="1" ht="24.95" customHeight="1">
      <c r="C11" s="2050" t="s">
        <v>395</v>
      </c>
      <c r="D11" s="2046"/>
      <c r="E11" s="2056">
        <f>'Analyse prospective (1)'!$E$54</f>
        <v>0</v>
      </c>
      <c r="F11" s="2057"/>
      <c r="G11" s="2056">
        <f>'Analyse prospective (1)'!$G$54</f>
        <v>0</v>
      </c>
      <c r="H11" s="2057"/>
      <c r="I11" s="2056">
        <f>'Analyse prospective (1)'!$I$54</f>
        <v>0</v>
      </c>
      <c r="J11" s="2057"/>
      <c r="K11" s="2056">
        <f>'Analyse prospective (1)'!$K$54</f>
        <v>0</v>
      </c>
      <c r="L11" s="2057"/>
      <c r="M11" s="2056">
        <f>'Analyse prospective (1)'!$M$54</f>
        <v>0</v>
      </c>
      <c r="N11" s="2057"/>
      <c r="O11" s="2056">
        <f>'Analyse prospective (1)'!$O$54</f>
        <v>0</v>
      </c>
      <c r="P11" s="2057"/>
    </row>
    <row r="12" spans="3:22" s="133" customFormat="1">
      <c r="C12" s="121"/>
      <c r="D12" s="121"/>
      <c r="E12" s="121"/>
      <c r="F12" s="121"/>
      <c r="G12" s="121"/>
      <c r="H12" s="121"/>
      <c r="I12" s="121"/>
      <c r="J12" s="121"/>
      <c r="O12" s="208"/>
      <c r="P12" s="208"/>
      <c r="Q12" s="209"/>
      <c r="R12" s="209"/>
      <c r="S12" s="209"/>
      <c r="T12" s="208"/>
      <c r="U12" s="919"/>
      <c r="V12" s="210"/>
    </row>
    <row r="13" spans="3:22" s="133" customFormat="1">
      <c r="C13" s="121"/>
      <c r="D13" s="121"/>
      <c r="E13" s="121"/>
      <c r="F13" s="121"/>
      <c r="G13" s="121"/>
      <c r="H13" s="121"/>
      <c r="I13" s="121"/>
      <c r="J13" s="121"/>
      <c r="O13" s="208"/>
      <c r="P13" s="208"/>
      <c r="Q13" s="209"/>
      <c r="R13" s="209"/>
      <c r="S13" s="209"/>
      <c r="T13" s="208"/>
      <c r="U13" s="919"/>
      <c r="V13" s="210"/>
    </row>
    <row r="14" spans="3:22" s="133" customFormat="1">
      <c r="C14" s="121"/>
      <c r="D14" s="121"/>
      <c r="E14" s="121"/>
      <c r="F14" s="121"/>
      <c r="G14" s="121"/>
      <c r="H14" s="121"/>
      <c r="I14" s="121"/>
      <c r="J14" s="121"/>
      <c r="O14" s="208"/>
      <c r="P14" s="208"/>
      <c r="Q14" s="209"/>
      <c r="R14" s="209"/>
      <c r="S14" s="209"/>
      <c r="T14" s="208"/>
      <c r="U14" s="919"/>
      <c r="V14" s="210"/>
    </row>
    <row r="15" spans="3:22" s="133" customFormat="1">
      <c r="C15" s="121"/>
      <c r="D15" s="121"/>
      <c r="E15" s="121"/>
      <c r="F15" s="121"/>
      <c r="G15" s="121"/>
      <c r="H15" s="121"/>
      <c r="I15" s="121"/>
      <c r="J15" s="121"/>
      <c r="O15" s="208"/>
      <c r="P15" s="208"/>
      <c r="Q15" s="209"/>
      <c r="R15" s="209"/>
      <c r="S15" s="209"/>
      <c r="T15" s="208"/>
      <c r="U15" s="919"/>
      <c r="V15" s="210"/>
    </row>
    <row r="16" spans="3:22" s="133" customFormat="1">
      <c r="C16" s="121"/>
      <c r="D16" s="121"/>
      <c r="E16" s="121"/>
      <c r="F16" s="121"/>
      <c r="G16" s="121"/>
      <c r="H16" s="121"/>
      <c r="I16" s="121"/>
      <c r="J16" s="121"/>
      <c r="O16" s="208"/>
      <c r="P16" s="208"/>
      <c r="Q16" s="209"/>
      <c r="R16" s="209"/>
      <c r="S16" s="209"/>
      <c r="T16" s="208"/>
      <c r="U16" s="919"/>
      <c r="V16" s="210"/>
    </row>
    <row r="17" spans="3:22" s="133" customFormat="1">
      <c r="C17" s="121"/>
      <c r="D17" s="121"/>
      <c r="E17" s="121"/>
      <c r="F17" s="121"/>
      <c r="G17" s="121"/>
      <c r="H17" s="121"/>
      <c r="I17" s="121"/>
      <c r="J17" s="121"/>
      <c r="O17" s="208"/>
      <c r="P17" s="208"/>
      <c r="Q17" s="209"/>
      <c r="R17" s="209"/>
      <c r="S17" s="209"/>
      <c r="T17" s="208"/>
      <c r="U17" s="919"/>
      <c r="V17" s="210"/>
    </row>
    <row r="18" spans="3:22" s="133" customFormat="1">
      <c r="C18" s="121"/>
      <c r="D18" s="121"/>
      <c r="E18" s="121"/>
      <c r="F18" s="121"/>
      <c r="G18" s="121"/>
      <c r="H18" s="121"/>
      <c r="I18" s="121"/>
      <c r="J18" s="121"/>
      <c r="O18" s="208"/>
      <c r="P18" s="208"/>
      <c r="Q18" s="209"/>
      <c r="R18" s="209"/>
      <c r="S18" s="209"/>
      <c r="T18" s="208"/>
      <c r="U18" s="919"/>
      <c r="V18" s="210"/>
    </row>
    <row r="19" spans="3:22" s="133" customFormat="1">
      <c r="C19" s="121"/>
      <c r="D19" s="121"/>
      <c r="E19" s="121"/>
      <c r="F19" s="121"/>
      <c r="G19" s="121"/>
      <c r="H19" s="121"/>
      <c r="I19" s="121"/>
      <c r="J19" s="121"/>
    </row>
    <row r="20" spans="3:22" s="133" customFormat="1">
      <c r="C20" s="121"/>
      <c r="D20" s="121"/>
      <c r="E20" s="121"/>
      <c r="F20" s="121"/>
      <c r="G20" s="121"/>
      <c r="H20" s="121"/>
      <c r="I20" s="121"/>
      <c r="J20" s="121"/>
    </row>
    <row r="21" spans="3:22" s="133" customFormat="1">
      <c r="C21" s="121"/>
      <c r="D21" s="121"/>
      <c r="E21" s="121"/>
      <c r="F21" s="121"/>
      <c r="G21" s="121"/>
      <c r="H21" s="121"/>
      <c r="I21" s="121"/>
      <c r="J21" s="121"/>
    </row>
    <row r="22" spans="3:22" s="133" customFormat="1">
      <c r="C22" s="121"/>
      <c r="D22" s="121"/>
      <c r="E22" s="121"/>
      <c r="F22" s="121"/>
      <c r="G22" s="121"/>
      <c r="H22" s="121"/>
      <c r="I22" s="121"/>
      <c r="J22" s="121"/>
    </row>
    <row r="23" spans="3:22" s="133" customFormat="1">
      <c r="C23" s="121"/>
      <c r="D23" s="121"/>
      <c r="E23" s="121"/>
      <c r="F23" s="121"/>
      <c r="G23" s="121"/>
      <c r="H23" s="121"/>
      <c r="I23" s="121"/>
      <c r="J23" s="121"/>
    </row>
    <row r="24" spans="3:22" s="133" customFormat="1" ht="16.5" customHeight="1">
      <c r="C24" s="121"/>
      <c r="D24" s="121"/>
      <c r="E24" s="2017">
        <f>'Bilan financier'!$E$17</f>
        <v>2019</v>
      </c>
      <c r="F24" s="1959"/>
      <c r="G24" s="2017">
        <f>'Bilan financier'!$E$17+1</f>
        <v>2020</v>
      </c>
      <c r="H24" s="1959"/>
      <c r="I24" s="2017">
        <f>'Bilan financier'!$E$17+2</f>
        <v>2021</v>
      </c>
      <c r="J24" s="1959"/>
      <c r="K24" s="2017">
        <f>'Bilan financier'!$E$17+3</f>
        <v>2022</v>
      </c>
      <c r="L24" s="1959"/>
      <c r="M24" s="2017">
        <f>'Bilan financier'!$E$17+4</f>
        <v>2023</v>
      </c>
      <c r="N24" s="1959"/>
      <c r="O24" s="2017">
        <f>'Bilan financier'!$E$17+5</f>
        <v>2024</v>
      </c>
      <c r="P24" s="1959"/>
    </row>
    <row r="25" spans="3:22" s="133" customFormat="1" ht="5.0999999999999996" customHeight="1">
      <c r="C25" s="121"/>
      <c r="D25" s="121"/>
      <c r="E25" s="121"/>
      <c r="F25" s="121"/>
      <c r="G25" s="121"/>
      <c r="H25" s="121"/>
      <c r="I25" s="121"/>
      <c r="J25" s="121"/>
    </row>
    <row r="26" spans="3:22" s="133" customFormat="1" ht="24.95" customHeight="1">
      <c r="C26" s="2021" t="s">
        <v>240</v>
      </c>
      <c r="D26" s="2021"/>
      <c r="E26" s="2024" t="e">
        <f>'Analyse prospective (1)'!$E$65</f>
        <v>#DIV/0!</v>
      </c>
      <c r="F26" s="2023"/>
      <c r="G26" s="2022" t="e">
        <f>'Analyse prospective (1)'!$G$65</f>
        <v>#DIV/0!</v>
      </c>
      <c r="H26" s="2023"/>
      <c r="I26" s="2022" t="e">
        <f>'Analyse prospective (1)'!$I$65</f>
        <v>#DIV/0!</v>
      </c>
      <c r="J26" s="2023"/>
      <c r="K26" s="2022" t="e">
        <f>'Analyse prospective (1)'!$K$65</f>
        <v>#DIV/0!</v>
      </c>
      <c r="L26" s="2023"/>
      <c r="M26" s="2022" t="e">
        <f>'Analyse prospective (1)'!$M$65</f>
        <v>#DIV/0!</v>
      </c>
      <c r="N26" s="2023"/>
      <c r="O26" s="2022" t="e">
        <f>'Analyse prospective (1)'!$O$65</f>
        <v>#DIV/0!</v>
      </c>
      <c r="P26" s="2026"/>
    </row>
    <row r="27" spans="3:22" s="133" customFormat="1" ht="24.95" customHeight="1">
      <c r="C27" s="2021" t="s">
        <v>729</v>
      </c>
      <c r="D27" s="2021"/>
      <c r="E27" s="2025" t="e">
        <f>'Analyse prospective (1)'!$E$76</f>
        <v>#DIV/0!</v>
      </c>
      <c r="F27" s="2025"/>
      <c r="G27" s="2020" t="e">
        <f>'Analyse prospective (1)'!$G$76</f>
        <v>#DIV/0!</v>
      </c>
      <c r="H27" s="2020"/>
      <c r="I27" s="2020" t="e">
        <f>'Analyse prospective (1)'!$I$76</f>
        <v>#DIV/0!</v>
      </c>
      <c r="J27" s="2020"/>
      <c r="K27" s="2018" t="e">
        <f>'Analyse prospective (1)'!$K$76</f>
        <v>#DIV/0!</v>
      </c>
      <c r="L27" s="2019"/>
      <c r="M27" s="2020" t="e">
        <f>'Analyse prospective (1)'!$M$76</f>
        <v>#DIV/0!</v>
      </c>
      <c r="N27" s="2020"/>
      <c r="O27" s="2025" t="e">
        <f>'Analyse prospective (1)'!$O$76</f>
        <v>#DIV/0!</v>
      </c>
      <c r="P27" s="2025"/>
    </row>
    <row r="28" spans="3:22" s="133" customFormat="1" ht="16.5" customHeight="1">
      <c r="C28" s="916"/>
      <c r="D28" s="916"/>
      <c r="E28" s="498"/>
      <c r="F28" s="498"/>
      <c r="G28" s="913"/>
      <c r="H28" s="913"/>
      <c r="I28" s="913"/>
      <c r="J28" s="913"/>
      <c r="K28" s="913"/>
      <c r="L28" s="913"/>
      <c r="M28" s="913"/>
      <c r="N28" s="913"/>
      <c r="O28" s="498"/>
      <c r="P28" s="498"/>
    </row>
    <row r="29" spans="3:22" s="133" customFormat="1" ht="16.5" customHeight="1">
      <c r="C29" s="916"/>
      <c r="D29" s="916"/>
      <c r="E29" s="498"/>
      <c r="F29" s="498"/>
      <c r="G29" s="913"/>
      <c r="H29" s="913"/>
      <c r="I29" s="913"/>
      <c r="J29" s="913"/>
      <c r="K29" s="913"/>
      <c r="L29" s="913"/>
      <c r="M29" s="913"/>
      <c r="N29" s="913"/>
      <c r="O29" s="498"/>
      <c r="P29" s="498"/>
    </row>
    <row r="30" spans="3:22" s="133" customFormat="1" ht="16.5" customHeight="1">
      <c r="C30" s="916"/>
      <c r="D30" s="916"/>
      <c r="E30" s="498"/>
      <c r="F30" s="498"/>
      <c r="G30" s="913"/>
      <c r="H30" s="913"/>
      <c r="I30" s="913"/>
      <c r="J30" s="913"/>
      <c r="K30" s="913"/>
      <c r="L30" s="913"/>
      <c r="M30" s="913"/>
      <c r="N30" s="913"/>
      <c r="O30" s="498"/>
      <c r="P30" s="498"/>
    </row>
    <row r="31" spans="3:22" s="133" customFormat="1" ht="16.5" customHeight="1">
      <c r="C31" s="916"/>
      <c r="D31" s="916"/>
      <c r="E31" s="498"/>
      <c r="F31" s="498"/>
      <c r="G31" s="913"/>
      <c r="H31" s="913"/>
      <c r="I31" s="913"/>
      <c r="J31" s="913"/>
      <c r="K31" s="913"/>
      <c r="L31" s="913"/>
      <c r="M31" s="913"/>
      <c r="N31" s="913"/>
      <c r="O31" s="498"/>
      <c r="P31" s="498"/>
    </row>
    <row r="32" spans="3:22" s="133" customFormat="1" ht="16.5" customHeight="1">
      <c r="C32" s="916"/>
      <c r="D32" s="916"/>
      <c r="E32" s="498"/>
      <c r="F32" s="498"/>
      <c r="G32" s="913"/>
      <c r="H32" s="913"/>
      <c r="I32" s="913"/>
      <c r="J32" s="913"/>
      <c r="K32" s="913"/>
      <c r="L32" s="913"/>
      <c r="M32" s="913"/>
      <c r="N32" s="913"/>
      <c r="O32" s="498"/>
      <c r="P32" s="498"/>
    </row>
    <row r="33" spans="2:16" s="133" customFormat="1" ht="16.5" customHeight="1">
      <c r="C33" s="916"/>
      <c r="D33" s="916"/>
      <c r="E33" s="498"/>
      <c r="F33" s="498"/>
      <c r="G33" s="913"/>
      <c r="H33" s="913"/>
      <c r="I33" s="913"/>
      <c r="J33" s="913"/>
      <c r="K33" s="913"/>
      <c r="L33" s="913"/>
      <c r="M33" s="913"/>
      <c r="N33" s="913"/>
      <c r="O33" s="498"/>
      <c r="P33" s="498"/>
    </row>
    <row r="34" spans="2:16" s="133" customFormat="1" ht="16.5" customHeight="1">
      <c r="C34" s="916"/>
      <c r="D34" s="916"/>
      <c r="E34" s="498"/>
      <c r="F34" s="498"/>
      <c r="G34" s="913"/>
      <c r="H34" s="913"/>
      <c r="I34" s="913"/>
      <c r="J34" s="913"/>
      <c r="K34" s="913"/>
      <c r="L34" s="913"/>
      <c r="M34" s="913"/>
      <c r="N34" s="913"/>
      <c r="O34" s="498"/>
      <c r="P34" s="498"/>
    </row>
    <row r="35" spans="2:16" s="133" customFormat="1" ht="16.5" customHeight="1">
      <c r="C35" s="916"/>
      <c r="D35" s="916"/>
      <c r="E35" s="498"/>
      <c r="F35" s="498"/>
      <c r="G35" s="913"/>
      <c r="H35" s="913"/>
      <c r="I35" s="913"/>
      <c r="J35" s="913"/>
      <c r="K35" s="913"/>
      <c r="L35" s="913"/>
      <c r="M35" s="913"/>
      <c r="N35" s="913"/>
      <c r="O35" s="498"/>
      <c r="P35" s="498"/>
    </row>
    <row r="36" spans="2:16" s="133" customFormat="1" ht="16.5" customHeight="1">
      <c r="C36" s="916"/>
      <c r="D36" s="916"/>
      <c r="E36" s="498"/>
      <c r="F36" s="498"/>
      <c r="G36" s="913"/>
      <c r="H36" s="913"/>
      <c r="I36" s="913"/>
      <c r="J36" s="913"/>
      <c r="K36" s="913"/>
      <c r="L36" s="913"/>
      <c r="M36" s="913"/>
      <c r="N36" s="913"/>
      <c r="O36" s="498"/>
      <c r="P36" s="498"/>
    </row>
    <row r="37" spans="2:16" s="133" customFormat="1" ht="16.5" customHeight="1">
      <c r="C37" s="916"/>
      <c r="D37" s="916"/>
      <c r="E37" s="498"/>
      <c r="F37" s="498"/>
      <c r="G37" s="913"/>
      <c r="H37" s="913"/>
      <c r="I37" s="913"/>
      <c r="J37" s="913"/>
      <c r="K37" s="913"/>
      <c r="L37" s="913"/>
      <c r="M37" s="913"/>
      <c r="N37" s="913"/>
      <c r="O37" s="498"/>
      <c r="P37" s="498"/>
    </row>
    <row r="38" spans="2:16" s="133" customFormat="1" ht="16.5" customHeight="1">
      <c r="C38" s="916"/>
      <c r="D38" s="916"/>
      <c r="E38" s="498"/>
      <c r="F38" s="498"/>
      <c r="G38" s="913"/>
      <c r="H38" s="913"/>
      <c r="I38" s="913"/>
      <c r="J38" s="913"/>
      <c r="K38" s="913"/>
      <c r="L38" s="913"/>
      <c r="M38" s="913"/>
      <c r="N38" s="913"/>
      <c r="O38" s="498"/>
      <c r="P38" s="498"/>
    </row>
    <row r="39" spans="2:16" s="133" customFormat="1" ht="16.5" customHeight="1">
      <c r="C39" s="916"/>
      <c r="D39" s="916"/>
      <c r="E39" s="498"/>
      <c r="F39" s="498"/>
      <c r="G39" s="913"/>
      <c r="H39" s="913"/>
      <c r="I39" s="913"/>
      <c r="J39" s="913"/>
      <c r="K39" s="913"/>
      <c r="L39" s="913"/>
      <c r="M39" s="913"/>
      <c r="N39" s="913"/>
      <c r="O39" s="498"/>
      <c r="P39" s="498"/>
    </row>
    <row r="40" spans="2:16" s="133" customFormat="1">
      <c r="C40" s="121"/>
      <c r="D40" s="121"/>
      <c r="E40" s="121"/>
      <c r="F40" s="121"/>
      <c r="G40" s="121"/>
      <c r="H40" s="121"/>
      <c r="I40" s="121"/>
      <c r="J40" s="121"/>
    </row>
    <row r="41" spans="2:16" s="133" customFormat="1">
      <c r="C41" s="121"/>
      <c r="D41" s="121"/>
      <c r="E41" s="121"/>
      <c r="F41" s="121"/>
      <c r="G41" s="121"/>
      <c r="H41" s="121"/>
      <c r="I41" s="121"/>
      <c r="J41" s="121"/>
    </row>
    <row r="42" spans="2:16" s="133" customFormat="1" ht="16.5" customHeight="1">
      <c r="C42" s="121"/>
      <c r="D42" s="121"/>
      <c r="E42" s="2017">
        <f>'Bilan financier'!$E$17</f>
        <v>2019</v>
      </c>
      <c r="F42" s="1959"/>
      <c r="G42" s="2017">
        <f>'Bilan financier'!$E$17+1</f>
        <v>2020</v>
      </c>
      <c r="H42" s="1959"/>
      <c r="I42" s="2017">
        <f>'Bilan financier'!$E$17+2</f>
        <v>2021</v>
      </c>
      <c r="J42" s="1959"/>
      <c r="K42" s="2017">
        <f>'Bilan financier'!$E$17+3</f>
        <v>2022</v>
      </c>
      <c r="L42" s="1959"/>
      <c r="M42" s="2017">
        <f>'Bilan financier'!$E$17+4</f>
        <v>2023</v>
      </c>
      <c r="N42" s="1959"/>
      <c r="O42" s="2017">
        <f>'Bilan financier'!$E$17+5</f>
        <v>2024</v>
      </c>
      <c r="P42" s="1959"/>
    </row>
    <row r="43" spans="2:16" s="133" customFormat="1" ht="5.0999999999999996" customHeight="1">
      <c r="C43" s="121"/>
      <c r="D43" s="121"/>
      <c r="E43" s="498"/>
      <c r="F43" s="498"/>
      <c r="G43" s="498"/>
      <c r="H43" s="498"/>
      <c r="I43" s="498"/>
      <c r="J43" s="498"/>
      <c r="K43" s="498"/>
      <c r="L43" s="498"/>
      <c r="M43" s="498"/>
      <c r="N43" s="498"/>
      <c r="O43" s="498"/>
      <c r="P43" s="498"/>
    </row>
    <row r="44" spans="2:16" s="133" customFormat="1" ht="24.95" customHeight="1">
      <c r="B44" s="1943" t="s">
        <v>696</v>
      </c>
      <c r="C44" s="1943"/>
      <c r="D44" s="1943"/>
      <c r="E44" s="2066" t="e">
        <f>'Analyse prospective (1)'!$E$87</f>
        <v>#DIV/0!</v>
      </c>
      <c r="F44" s="2064"/>
      <c r="G44" s="2063" t="e">
        <f>'Analyse prospective (1)'!$G$87</f>
        <v>#DIV/0!</v>
      </c>
      <c r="H44" s="2064"/>
      <c r="I44" s="2063" t="e">
        <f>'Analyse prospective (1)'!$I$87</f>
        <v>#DIV/0!</v>
      </c>
      <c r="J44" s="2064"/>
      <c r="K44" s="2063" t="e">
        <f>'Analyse prospective (1)'!$K$87</f>
        <v>#DIV/0!</v>
      </c>
      <c r="L44" s="2064"/>
      <c r="M44" s="2063" t="e">
        <f>'Analyse prospective (1)'!$M$87</f>
        <v>#DIV/0!</v>
      </c>
      <c r="N44" s="2064"/>
      <c r="O44" s="2063" t="e">
        <f>'Analyse prospective (1)'!$O$87</f>
        <v>#DIV/0!</v>
      </c>
      <c r="P44" s="2071"/>
    </row>
    <row r="45" spans="2:16" s="133" customFormat="1" ht="24.95" customHeight="1">
      <c r="B45" s="1943" t="s">
        <v>697</v>
      </c>
      <c r="C45" s="1943"/>
      <c r="D45" s="1943"/>
      <c r="E45" s="2065" t="e">
        <f>'Analyse prospective (1)'!$E$98</f>
        <v>#DIV/0!</v>
      </c>
      <c r="F45" s="2062"/>
      <c r="G45" s="2061" t="e">
        <f>'Analyse prospective (1)'!$G$98</f>
        <v>#DIV/0!</v>
      </c>
      <c r="H45" s="2062"/>
      <c r="I45" s="2061" t="e">
        <f>'Analyse prospective (1)'!$I$98</f>
        <v>#DIV/0!</v>
      </c>
      <c r="J45" s="2062"/>
      <c r="K45" s="2061" t="e">
        <f>'Analyse prospective (1)'!$K$98</f>
        <v>#DIV/0!</v>
      </c>
      <c r="L45" s="2062"/>
      <c r="M45" s="2061" t="e">
        <f>'Analyse prospective (1)'!$M$98</f>
        <v>#DIV/0!</v>
      </c>
      <c r="N45" s="2062"/>
      <c r="O45" s="2061" t="e">
        <f>'Analyse prospective (1)'!$O$98</f>
        <v>#DIV/0!</v>
      </c>
      <c r="P45" s="2070"/>
    </row>
    <row r="46" spans="2:16" s="133" customFormat="1">
      <c r="C46" s="121"/>
      <c r="D46" s="121"/>
      <c r="E46" s="121"/>
      <c r="F46" s="121"/>
      <c r="G46" s="121"/>
      <c r="H46" s="121"/>
      <c r="I46" s="121"/>
      <c r="J46" s="121"/>
    </row>
    <row r="47" spans="2:16" s="133" customFormat="1">
      <c r="C47" s="121"/>
      <c r="D47" s="121"/>
      <c r="E47" s="121"/>
      <c r="F47" s="121"/>
      <c r="G47" s="121"/>
      <c r="H47" s="121"/>
      <c r="I47" s="121"/>
      <c r="J47" s="121"/>
    </row>
    <row r="48" spans="2:16" s="133" customFormat="1">
      <c r="C48" s="121"/>
      <c r="D48" s="121"/>
      <c r="E48" s="121"/>
      <c r="F48" s="121"/>
      <c r="G48" s="121"/>
      <c r="H48" s="121"/>
      <c r="I48" s="121"/>
      <c r="J48" s="121"/>
    </row>
    <row r="49" spans="3:16" s="133" customFormat="1">
      <c r="C49" s="121"/>
      <c r="D49" s="121"/>
      <c r="E49" s="121"/>
      <c r="F49" s="121"/>
      <c r="G49" s="121"/>
      <c r="H49" s="121"/>
      <c r="I49" s="121"/>
      <c r="J49" s="121"/>
    </row>
    <row r="50" spans="3:16" s="133" customFormat="1">
      <c r="C50" s="121"/>
      <c r="D50" s="121"/>
      <c r="E50" s="121"/>
      <c r="F50" s="121"/>
      <c r="G50" s="121"/>
      <c r="H50" s="121"/>
      <c r="I50" s="121"/>
      <c r="J50" s="121"/>
    </row>
    <row r="51" spans="3:16" s="133" customFormat="1">
      <c r="C51" s="121"/>
      <c r="D51" s="121"/>
      <c r="E51" s="121"/>
      <c r="F51" s="121"/>
      <c r="G51" s="121"/>
      <c r="H51" s="121"/>
      <c r="I51" s="121"/>
      <c r="J51" s="121"/>
    </row>
    <row r="52" spans="3:16" s="133" customFormat="1">
      <c r="C52" s="121"/>
      <c r="D52" s="121"/>
      <c r="E52" s="121"/>
      <c r="F52" s="121"/>
      <c r="G52" s="121"/>
      <c r="H52" s="121"/>
      <c r="I52" s="121"/>
      <c r="J52" s="121"/>
    </row>
    <row r="53" spans="3:16" s="133" customFormat="1">
      <c r="C53" s="121"/>
      <c r="D53" s="121"/>
      <c r="E53" s="121"/>
      <c r="F53" s="121"/>
      <c r="G53" s="121"/>
      <c r="H53" s="121"/>
      <c r="I53" s="121"/>
      <c r="J53" s="121"/>
    </row>
    <row r="54" spans="3:16" s="133" customFormat="1">
      <c r="C54" s="121"/>
      <c r="D54" s="121"/>
      <c r="E54" s="121"/>
      <c r="F54" s="121"/>
      <c r="G54" s="121"/>
      <c r="H54" s="121"/>
      <c r="I54" s="121"/>
      <c r="J54" s="121"/>
    </row>
    <row r="55" spans="3:16" s="133" customFormat="1">
      <c r="C55" s="121"/>
      <c r="D55" s="121"/>
      <c r="E55" s="121"/>
      <c r="F55" s="121"/>
      <c r="G55" s="121"/>
      <c r="H55" s="121"/>
      <c r="I55" s="121"/>
      <c r="J55" s="121"/>
    </row>
    <row r="56" spans="3:16" s="133" customFormat="1">
      <c r="C56" s="121"/>
      <c r="D56" s="121"/>
      <c r="E56" s="121"/>
      <c r="F56" s="121"/>
      <c r="G56" s="121"/>
      <c r="H56" s="121"/>
      <c r="I56" s="121"/>
      <c r="J56" s="121"/>
    </row>
    <row r="57" spans="3:16" s="133" customFormat="1">
      <c r="C57" s="121"/>
      <c r="D57" s="121"/>
      <c r="E57" s="121"/>
      <c r="F57" s="121"/>
      <c r="G57" s="121"/>
      <c r="H57" s="121"/>
      <c r="I57" s="121"/>
      <c r="J57" s="121"/>
    </row>
    <row r="58" spans="3:16" s="133" customFormat="1">
      <c r="C58" s="121"/>
      <c r="D58" s="121"/>
      <c r="E58" s="121"/>
      <c r="F58" s="121"/>
      <c r="G58" s="121"/>
      <c r="H58" s="121"/>
      <c r="I58" s="121"/>
      <c r="J58" s="121"/>
    </row>
    <row r="59" spans="3:16" s="133" customFormat="1">
      <c r="C59" s="121"/>
      <c r="D59" s="121"/>
      <c r="E59" s="121"/>
      <c r="F59" s="121"/>
      <c r="G59" s="121"/>
      <c r="H59" s="121"/>
      <c r="I59" s="121"/>
      <c r="J59" s="121"/>
    </row>
    <row r="60" spans="3:16" s="133" customFormat="1">
      <c r="C60" s="121"/>
      <c r="D60" s="121"/>
      <c r="E60" s="121"/>
      <c r="F60" s="121"/>
      <c r="G60" s="121"/>
      <c r="H60" s="121"/>
      <c r="I60" s="121"/>
      <c r="J60" s="121"/>
    </row>
    <row r="61" spans="3:16" s="133" customFormat="1">
      <c r="C61" s="121"/>
      <c r="D61" s="121"/>
      <c r="E61" s="121"/>
      <c r="F61" s="121"/>
      <c r="G61" s="121"/>
      <c r="H61" s="121"/>
      <c r="I61" s="121"/>
      <c r="J61" s="121"/>
    </row>
    <row r="62" spans="3:16" s="133" customFormat="1">
      <c r="C62" s="121"/>
      <c r="D62" s="121"/>
      <c r="E62" s="121"/>
      <c r="F62" s="121"/>
      <c r="G62" s="121"/>
      <c r="H62" s="121"/>
      <c r="I62" s="121"/>
      <c r="J62" s="121"/>
    </row>
    <row r="63" spans="3:16" s="133" customFormat="1">
      <c r="C63" s="121"/>
      <c r="D63" s="121"/>
      <c r="E63" s="121"/>
      <c r="F63" s="121"/>
      <c r="G63" s="121"/>
      <c r="H63" s="121"/>
      <c r="I63" s="121"/>
      <c r="J63" s="121"/>
    </row>
    <row r="64" spans="3:16" s="133" customFormat="1" ht="16.5" customHeight="1">
      <c r="C64" s="121"/>
      <c r="D64" s="121"/>
      <c r="E64" s="2051">
        <f>'Bilan financier'!$E$17</f>
        <v>2019</v>
      </c>
      <c r="F64" s="2051"/>
      <c r="G64" s="2051">
        <f>'Bilan financier'!$E$17+1</f>
        <v>2020</v>
      </c>
      <c r="H64" s="2051"/>
      <c r="I64" s="2051">
        <f>'Bilan financier'!$E$17+2</f>
        <v>2021</v>
      </c>
      <c r="J64" s="2051"/>
      <c r="K64" s="2051">
        <f>'Bilan financier'!$E$17+3</f>
        <v>2022</v>
      </c>
      <c r="L64" s="2051"/>
      <c r="M64" s="2051">
        <f>'Bilan financier'!$E$17+4</f>
        <v>2023</v>
      </c>
      <c r="N64" s="2051"/>
      <c r="O64" s="2051">
        <f>'Bilan financier'!$E$17+5</f>
        <v>2024</v>
      </c>
      <c r="P64" s="2051"/>
    </row>
    <row r="65" spans="2:16" s="133" customFormat="1" ht="5.0999999999999996" customHeight="1">
      <c r="C65" s="121"/>
      <c r="D65" s="121"/>
      <c r="E65" s="918"/>
      <c r="F65" s="918"/>
      <c r="G65" s="918"/>
      <c r="H65" s="918"/>
      <c r="I65" s="918"/>
      <c r="J65" s="918"/>
      <c r="K65" s="918"/>
      <c r="L65" s="918"/>
      <c r="M65" s="918"/>
      <c r="N65" s="918"/>
      <c r="O65" s="918"/>
      <c r="P65" s="918"/>
    </row>
    <row r="66" spans="2:16" s="133" customFormat="1" ht="24.95" customHeight="1">
      <c r="B66" s="1943" t="s">
        <v>597</v>
      </c>
      <c r="C66" s="1943"/>
      <c r="D66" s="1943"/>
      <c r="E66" s="2069">
        <f>'Analyse prospective (1)'!$E$109</f>
        <v>0</v>
      </c>
      <c r="F66" s="2060"/>
      <c r="G66" s="2059">
        <f>'Analyse prospective (1)'!$G$109</f>
        <v>0</v>
      </c>
      <c r="H66" s="2060"/>
      <c r="I66" s="2059">
        <f>'Analyse prospective (1)'!$I$109</f>
        <v>0</v>
      </c>
      <c r="J66" s="2060"/>
      <c r="K66" s="2059">
        <f>'Analyse prospective (1)'!$K$109</f>
        <v>0</v>
      </c>
      <c r="L66" s="2060"/>
      <c r="M66" s="2059">
        <f>'Analyse prospective (1)'!$M$109</f>
        <v>0</v>
      </c>
      <c r="N66" s="2060"/>
      <c r="O66" s="2059">
        <f>'Analyse prospective (1)'!$O$109</f>
        <v>0</v>
      </c>
      <c r="P66" s="2069"/>
    </row>
    <row r="67" spans="2:16" s="133" customFormat="1">
      <c r="C67" s="121"/>
      <c r="D67" s="121"/>
      <c r="E67" s="121"/>
      <c r="F67" s="121"/>
      <c r="G67" s="121"/>
      <c r="H67" s="121"/>
      <c r="I67" s="121"/>
      <c r="J67" s="121"/>
    </row>
    <row r="68" spans="2:16" s="133" customFormat="1">
      <c r="C68" s="213"/>
      <c r="D68" s="213"/>
      <c r="E68" s="121"/>
      <c r="F68" s="214"/>
      <c r="G68" s="215"/>
      <c r="H68" s="214"/>
      <c r="I68" s="214"/>
      <c r="J68" s="214"/>
      <c r="K68" s="216"/>
    </row>
    <row r="69" spans="2:16" s="133" customFormat="1">
      <c r="C69" s="213"/>
      <c r="D69" s="213"/>
      <c r="E69" s="121"/>
      <c r="F69" s="214"/>
      <c r="G69" s="215"/>
      <c r="H69" s="214"/>
      <c r="I69" s="214"/>
      <c r="J69" s="214"/>
      <c r="K69" s="216"/>
    </row>
    <row r="70" spans="2:16" s="133" customFormat="1">
      <c r="B70" s="2067" t="s">
        <v>774</v>
      </c>
      <c r="C70" s="2067"/>
      <c r="D70" s="2067"/>
      <c r="E70" s="2067"/>
      <c r="F70" s="214"/>
      <c r="G70" s="215"/>
      <c r="H70" s="214"/>
      <c r="I70" s="214"/>
      <c r="J70" s="214"/>
      <c r="K70" s="216"/>
    </row>
    <row r="71" spans="2:16" s="121" customFormat="1">
      <c r="E71" s="2058">
        <f>'Cptes de résultat prévisionnels'!$G$12</f>
        <v>2019</v>
      </c>
      <c r="F71" s="2051"/>
      <c r="G71" s="2058">
        <f>'Cptes de résultat prévisionnels'!$H$12</f>
        <v>2020</v>
      </c>
      <c r="H71" s="2051"/>
      <c r="I71" s="2058">
        <f>'Cptes de résultat prévisionnels'!$I$12</f>
        <v>2021</v>
      </c>
      <c r="J71" s="2051"/>
      <c r="K71" s="2058">
        <f>'Cptes de résultat prévisionnels'!$J$12</f>
        <v>2022</v>
      </c>
      <c r="L71" s="2051"/>
      <c r="M71" s="2058">
        <f>'Cptes de résultat prévisionnels'!$K$12</f>
        <v>2023</v>
      </c>
      <c r="N71" s="2051"/>
      <c r="O71" s="2058">
        <f>'Cptes de résultat prévisionnels'!$L$12</f>
        <v>2024</v>
      </c>
      <c r="P71" s="2051"/>
    </row>
    <row r="72" spans="2:16" s="133" customFormat="1" ht="5.0999999999999996" customHeight="1">
      <c r="C72" s="213"/>
      <c r="D72" s="213"/>
      <c r="E72" s="121"/>
      <c r="F72" s="217"/>
      <c r="G72" s="210"/>
      <c r="H72" s="217"/>
      <c r="I72" s="121"/>
      <c r="J72" s="121"/>
    </row>
    <row r="73" spans="2:16" ht="16.5" customHeight="1">
      <c r="B73" s="2037" t="s">
        <v>770</v>
      </c>
      <c r="C73" s="2037"/>
      <c r="D73" s="2037"/>
      <c r="E73" s="2033" t="e">
        <f>'Cptes de résultat prévisionnels'!$S$13/'Cptes de résultat prévisionnels'!$S$23</f>
        <v>#DIV/0!</v>
      </c>
      <c r="F73" s="2034"/>
      <c r="G73" s="2033" t="e">
        <f>'Cptes de résultat prévisionnels'!$T$13/'Cptes de résultat prévisionnels'!$T$23</f>
        <v>#DIV/0!</v>
      </c>
      <c r="H73" s="2034"/>
      <c r="I73" s="2033" t="e">
        <f>'Cptes de résultat prévisionnels'!$U$13/'Cptes de résultat prévisionnels'!$U$23</f>
        <v>#DIV/0!</v>
      </c>
      <c r="J73" s="2034"/>
      <c r="K73" s="2033" t="e">
        <f>'Cptes de résultat prévisionnels'!$V$13/'Cptes de résultat prévisionnels'!$V$23</f>
        <v>#DIV/0!</v>
      </c>
      <c r="L73" s="2034"/>
      <c r="M73" s="2033" t="e">
        <f>'Cptes de résultat prévisionnels'!$W$13/'Cptes de résultat prévisionnels'!$W$23</f>
        <v>#DIV/0!</v>
      </c>
      <c r="N73" s="2034"/>
      <c r="O73" s="2033" t="e">
        <f>'Cptes de résultat prévisionnels'!$X$13/'Cptes de résultat prévisionnels'!$X$23</f>
        <v>#DIV/0!</v>
      </c>
      <c r="P73" s="2034"/>
    </row>
    <row r="74" spans="2:16">
      <c r="B74" s="2037" t="s">
        <v>771</v>
      </c>
      <c r="C74" s="2037"/>
      <c r="D74" s="2037"/>
      <c r="E74" s="2033" t="e">
        <f>'Cptes de résultat prévisionnels'!$S$15/'Cptes de résultat prévisionnels'!$S$23</f>
        <v>#DIV/0!</v>
      </c>
      <c r="F74" s="2034"/>
      <c r="G74" s="2033" t="e">
        <f>'Cptes de résultat prévisionnels'!$T$15/'Cptes de résultat prévisionnels'!$T$23</f>
        <v>#DIV/0!</v>
      </c>
      <c r="H74" s="2034"/>
      <c r="I74" s="2033" t="e">
        <f>'Cptes de résultat prévisionnels'!$U$15/'Cptes de résultat prévisionnels'!$U$23</f>
        <v>#DIV/0!</v>
      </c>
      <c r="J74" s="2034"/>
      <c r="K74" s="2033" t="e">
        <f>'Cptes de résultat prévisionnels'!$V$15/'Cptes de résultat prévisionnels'!$V$23</f>
        <v>#DIV/0!</v>
      </c>
      <c r="L74" s="2034"/>
      <c r="M74" s="2033" t="e">
        <f>'Cptes de résultat prévisionnels'!$W$15/'Cptes de résultat prévisionnels'!$W$23</f>
        <v>#DIV/0!</v>
      </c>
      <c r="N74" s="2034"/>
      <c r="O74" s="2033" t="e">
        <f>'Cptes de résultat prévisionnels'!$X$15/'Cptes de résultat prévisionnels'!$X$23</f>
        <v>#DIV/0!</v>
      </c>
      <c r="P74" s="2034"/>
    </row>
    <row r="75" spans="2:16" ht="16.5" customHeight="1">
      <c r="B75" s="2037" t="s">
        <v>772</v>
      </c>
      <c r="C75" s="2037"/>
      <c r="D75" s="2037"/>
      <c r="E75" s="2033" t="e">
        <f>'Cptes de résultat prévisionnels'!$S$17/'Cptes de résultat prévisionnels'!$S$23</f>
        <v>#DIV/0!</v>
      </c>
      <c r="F75" s="2034"/>
      <c r="G75" s="2033" t="e">
        <f>'Cptes de résultat prévisionnels'!$T$17/'Cptes de résultat prévisionnels'!$T$23</f>
        <v>#DIV/0!</v>
      </c>
      <c r="H75" s="2034"/>
      <c r="I75" s="2033" t="e">
        <f>'Cptes de résultat prévisionnels'!$U$17/'Cptes de résultat prévisionnels'!$U$23</f>
        <v>#DIV/0!</v>
      </c>
      <c r="J75" s="2034"/>
      <c r="K75" s="2033" t="e">
        <f>'Cptes de résultat prévisionnels'!$V$17/'Cptes de résultat prévisionnels'!$V$23</f>
        <v>#DIV/0!</v>
      </c>
      <c r="L75" s="2034"/>
      <c r="M75" s="2033" t="e">
        <f>'Cptes de résultat prévisionnels'!$W$17/'Cptes de résultat prévisionnels'!$W$23</f>
        <v>#DIV/0!</v>
      </c>
      <c r="N75" s="2034"/>
      <c r="O75" s="2033" t="e">
        <f>'Cptes de résultat prévisionnels'!$X$17/'Cptes de résultat prévisionnels'!$X$23</f>
        <v>#DIV/0!</v>
      </c>
      <c r="P75" s="2034"/>
    </row>
    <row r="76" spans="2:16" ht="16.5" customHeight="1">
      <c r="B76" s="2037" t="s">
        <v>773</v>
      </c>
      <c r="C76" s="2037"/>
      <c r="D76" s="2037"/>
      <c r="E76" s="2031" t="e">
        <f>'Cptes de résultat prévisionnels'!$S$19/'Cptes de résultat prévisionnels'!$S$23</f>
        <v>#DIV/0!</v>
      </c>
      <c r="F76" s="2031"/>
      <c r="G76" s="2029" t="e">
        <f>'Cptes de résultat prévisionnels'!$T$19/'Cptes de résultat prévisionnels'!$T$23</f>
        <v>#DIV/0!</v>
      </c>
      <c r="H76" s="2029"/>
      <c r="I76" s="2029" t="e">
        <f>'Cptes de résultat prévisionnels'!$U$19/'Cptes de résultat prévisionnels'!$U$23</f>
        <v>#DIV/0!</v>
      </c>
      <c r="J76" s="2029"/>
      <c r="K76" s="2029" t="e">
        <f>'Cptes de résultat prévisionnels'!$V$19/'Cptes de résultat prévisionnels'!$V$23</f>
        <v>#DIV/0!</v>
      </c>
      <c r="L76" s="2029"/>
      <c r="M76" s="2029" t="e">
        <f>'Cptes de résultat prévisionnels'!$W$19/'Cptes de résultat prévisionnels'!$W$23</f>
        <v>#DIV/0!</v>
      </c>
      <c r="N76" s="2029"/>
      <c r="O76" s="2031" t="e">
        <f>'Cptes de résultat prévisionnels'!$X$19/'Cptes de résultat prévisionnels'!$X$23</f>
        <v>#DIV/0!</v>
      </c>
      <c r="P76" s="2031"/>
    </row>
    <row r="77" spans="2:16" ht="16.5" customHeight="1">
      <c r="B77" s="2037"/>
      <c r="C77" s="2037"/>
      <c r="D77" s="2037"/>
      <c r="E77" s="2032"/>
      <c r="F77" s="2032"/>
      <c r="G77" s="2030"/>
      <c r="H77" s="2030"/>
      <c r="I77" s="2030"/>
      <c r="J77" s="2030"/>
      <c r="K77" s="2030"/>
      <c r="L77" s="2030"/>
      <c r="M77" s="2030"/>
      <c r="N77" s="2030"/>
      <c r="O77" s="2032"/>
      <c r="P77" s="2032"/>
    </row>
    <row r="78" spans="2:16" ht="8.1" customHeight="1">
      <c r="B78" s="617"/>
      <c r="C78" s="617"/>
      <c r="D78" s="617"/>
      <c r="E78" s="525"/>
      <c r="F78" s="525"/>
      <c r="G78" s="751"/>
      <c r="H78" s="751"/>
      <c r="I78" s="913"/>
      <c r="J78" s="913"/>
      <c r="K78" s="913"/>
      <c r="L78" s="913"/>
      <c r="M78" s="913"/>
      <c r="N78" s="913"/>
      <c r="O78" s="913"/>
      <c r="P78" s="913"/>
    </row>
    <row r="79" spans="2:16">
      <c r="B79" s="2035" t="s">
        <v>769</v>
      </c>
      <c r="C79" s="2035"/>
      <c r="D79" s="2035"/>
      <c r="E79" s="2027" t="e">
        <f>'Cptes de résultat prévisionnels'!$S$26/'Cptes de résultat prévisionnels'!$S$34</f>
        <v>#DIV/0!</v>
      </c>
      <c r="F79" s="2028"/>
      <c r="G79" s="2027" t="e">
        <f>'Cptes de résultat prévisionnels'!$T$26/'Cptes de résultat prévisionnels'!$T$34</f>
        <v>#DIV/0!</v>
      </c>
      <c r="H79" s="2028"/>
      <c r="I79" s="2027" t="e">
        <f>'Cptes de résultat prévisionnels'!$U$26/'Cptes de résultat prévisionnels'!$U$34</f>
        <v>#DIV/0!</v>
      </c>
      <c r="J79" s="2028"/>
      <c r="K79" s="2027" t="e">
        <f>'Cptes de résultat prévisionnels'!$V$26/'Cptes de résultat prévisionnels'!$V$34</f>
        <v>#DIV/0!</v>
      </c>
      <c r="L79" s="2028"/>
      <c r="M79" s="2027" t="e">
        <f>'Cptes de résultat prévisionnels'!$W$26/'Cptes de résultat prévisionnels'!$W$34</f>
        <v>#DIV/0!</v>
      </c>
      <c r="N79" s="2028"/>
      <c r="O79" s="2027" t="e">
        <f>'Cptes de résultat prévisionnels'!$X$26/'Cptes de résultat prévisionnels'!$X$34</f>
        <v>#DIV/0!</v>
      </c>
      <c r="P79" s="2028"/>
    </row>
    <row r="80" spans="2:16">
      <c r="B80" s="2035" t="s">
        <v>768</v>
      </c>
      <c r="C80" s="2035"/>
      <c r="D80" s="2035"/>
      <c r="E80" s="2027" t="e">
        <f>'Cptes de résultat prévisionnels'!$S$28/'Cptes de résultat prévisionnels'!$S$34</f>
        <v>#DIV/0!</v>
      </c>
      <c r="F80" s="2028"/>
      <c r="G80" s="2027" t="e">
        <f>'Cptes de résultat prévisionnels'!$T$28/'Cptes de résultat prévisionnels'!$T$34</f>
        <v>#DIV/0!</v>
      </c>
      <c r="H80" s="2028"/>
      <c r="I80" s="2027" t="e">
        <f>'Cptes de résultat prévisionnels'!$U$28/'Cptes de résultat prévisionnels'!$U$34</f>
        <v>#DIV/0!</v>
      </c>
      <c r="J80" s="2028"/>
      <c r="K80" s="2027" t="e">
        <f>'Cptes de résultat prévisionnels'!$V$28/'Cptes de résultat prévisionnels'!$V$34</f>
        <v>#DIV/0!</v>
      </c>
      <c r="L80" s="2028"/>
      <c r="M80" s="2027" t="e">
        <f>'Cptes de résultat prévisionnels'!$W$28/'Cptes de résultat prévisionnels'!$W$34</f>
        <v>#DIV/0!</v>
      </c>
      <c r="N80" s="2028"/>
      <c r="O80" s="2027" t="e">
        <f>'Cptes de résultat prévisionnels'!$X$28/'Cptes de résultat prévisionnels'!$X$34</f>
        <v>#DIV/0!</v>
      </c>
      <c r="P80" s="2028"/>
    </row>
    <row r="81" spans="2:16">
      <c r="B81" s="2035" t="s">
        <v>767</v>
      </c>
      <c r="C81" s="2035"/>
      <c r="D81" s="2035"/>
      <c r="E81" s="2027" t="e">
        <f>'Cptes de résultat prévisionnels'!$S$30/'Cptes de résultat prévisionnels'!$S$34</f>
        <v>#DIV/0!</v>
      </c>
      <c r="F81" s="2028"/>
      <c r="G81" s="2027" t="e">
        <f>'Cptes de résultat prévisionnels'!$T$30/'Cptes de résultat prévisionnels'!$T$34</f>
        <v>#DIV/0!</v>
      </c>
      <c r="H81" s="2028"/>
      <c r="I81" s="2027" t="e">
        <f>'Cptes de résultat prévisionnels'!$U$30/'Cptes de résultat prévisionnels'!$U$34</f>
        <v>#DIV/0!</v>
      </c>
      <c r="J81" s="2028"/>
      <c r="K81" s="2027" t="e">
        <f>'Cptes de résultat prévisionnels'!$V$30/'Cptes de résultat prévisionnels'!$V$34</f>
        <v>#DIV/0!</v>
      </c>
      <c r="L81" s="2028"/>
      <c r="M81" s="2027" t="e">
        <f>'Cptes de résultat prévisionnels'!$W$30/'Cptes de résultat prévisionnels'!$W$34</f>
        <v>#DIV/0!</v>
      </c>
      <c r="N81" s="2028"/>
      <c r="O81" s="2027" t="e">
        <f>'Cptes de résultat prévisionnels'!$X$30/'Cptes de résultat prévisionnels'!$X$34</f>
        <v>#DIV/0!</v>
      </c>
      <c r="P81" s="2028"/>
    </row>
    <row r="82" spans="2:16">
      <c r="B82" s="2035" t="s">
        <v>766</v>
      </c>
      <c r="C82" s="2035"/>
      <c r="D82" s="2035"/>
      <c r="E82" s="2027" t="e">
        <f>'Cptes de résultat prévisionnels'!$S$32/'Cptes de résultat prévisionnels'!$S$34</f>
        <v>#DIV/0!</v>
      </c>
      <c r="F82" s="2028"/>
      <c r="G82" s="2027" t="e">
        <f>'Cptes de résultat prévisionnels'!$T$32/'Cptes de résultat prévisionnels'!$T$34</f>
        <v>#DIV/0!</v>
      </c>
      <c r="H82" s="2028"/>
      <c r="I82" s="2027" t="e">
        <f>'Cptes de résultat prévisionnels'!$U$32/'Cptes de résultat prévisionnels'!$U$34</f>
        <v>#DIV/0!</v>
      </c>
      <c r="J82" s="2028"/>
      <c r="K82" s="2027" t="e">
        <f>'Cptes de résultat prévisionnels'!$V$32/'Cptes de résultat prévisionnels'!$V$34</f>
        <v>#DIV/0!</v>
      </c>
      <c r="L82" s="2028"/>
      <c r="M82" s="2027" t="e">
        <f>'Cptes de résultat prévisionnels'!$W$32/'Cptes de résultat prévisionnels'!$W$34</f>
        <v>#DIV/0!</v>
      </c>
      <c r="N82" s="2028"/>
      <c r="O82" s="2027" t="e">
        <f>'Cptes de résultat prévisionnels'!$X$32/'Cptes de résultat prévisionnels'!$X$34</f>
        <v>#DIV/0!</v>
      </c>
      <c r="P82" s="2028"/>
    </row>
    <row r="83" spans="2:16">
      <c r="C83" s="133"/>
      <c r="D83" s="133"/>
      <c r="E83" s="133"/>
      <c r="F83" s="133"/>
      <c r="G83" s="133"/>
      <c r="H83" s="133"/>
      <c r="I83" s="133"/>
      <c r="J83" s="133"/>
      <c r="K83" s="133"/>
      <c r="L83" s="133"/>
      <c r="M83" s="133"/>
      <c r="N83" s="133"/>
      <c r="O83" s="133"/>
    </row>
    <row r="84" spans="2:16">
      <c r="C84" s="133"/>
      <c r="D84" s="133"/>
      <c r="E84" s="133"/>
      <c r="F84" s="133"/>
      <c r="G84" s="133"/>
      <c r="H84" s="133"/>
      <c r="I84" s="133"/>
      <c r="J84" s="133"/>
      <c r="K84" s="133"/>
      <c r="L84" s="133"/>
      <c r="M84" s="133"/>
      <c r="N84" s="133"/>
      <c r="O84" s="133"/>
    </row>
    <row r="85" spans="2:16">
      <c r="B85" s="2067" t="s">
        <v>2199</v>
      </c>
      <c r="C85" s="2067"/>
      <c r="D85" s="2067"/>
      <c r="E85" s="2067"/>
      <c r="F85" s="2067"/>
      <c r="G85" s="2067"/>
      <c r="H85" s="2067"/>
      <c r="I85" s="210"/>
      <c r="J85" s="133"/>
      <c r="K85" s="133"/>
      <c r="L85" s="133"/>
      <c r="M85" s="133"/>
      <c r="N85" s="133"/>
      <c r="O85" s="133"/>
    </row>
    <row r="86" spans="2:16">
      <c r="B86" s="2068"/>
      <c r="C86" s="2068"/>
      <c r="D86" s="2068"/>
      <c r="E86" s="2043">
        <f>'Cptes de résultat prévisionnels'!G12</f>
        <v>2019</v>
      </c>
      <c r="F86" s="2044"/>
      <c r="G86" s="2043">
        <f>'Cptes de résultat prévisionnels'!H$12</f>
        <v>2020</v>
      </c>
      <c r="H86" s="2044"/>
      <c r="I86" s="2043">
        <f>'Cptes de résultat prévisionnels'!I12</f>
        <v>2021</v>
      </c>
      <c r="J86" s="2044"/>
      <c r="K86" s="2043">
        <f>'Cptes de résultat prévisionnels'!J12</f>
        <v>2022</v>
      </c>
      <c r="L86" s="2044"/>
      <c r="M86" s="2043">
        <f>'Cptes de résultat prévisionnels'!K12</f>
        <v>2023</v>
      </c>
      <c r="N86" s="2044"/>
      <c r="O86" s="2043">
        <f>'Cptes de résultat prévisionnels'!L12</f>
        <v>2024</v>
      </c>
      <c r="P86" s="2044"/>
    </row>
    <row r="87" spans="2:16">
      <c r="B87" s="2035" t="s">
        <v>2200</v>
      </c>
      <c r="C87" s="2035"/>
      <c r="D87" s="2035"/>
      <c r="E87" s="2041" t="e">
        <f>'Cptes de résultat prévisionnels'!$G$13/'Cptes de résultat prévisionnels'!$G$21</f>
        <v>#DIV/0!</v>
      </c>
      <c r="F87" s="2042"/>
      <c r="G87" s="2041" t="e">
        <f>'Cptes de résultat prévisionnels'!H13/'Cptes de résultat prévisionnels'!$H$21</f>
        <v>#DIV/0!</v>
      </c>
      <c r="H87" s="2042"/>
      <c r="I87" s="2041" t="e">
        <f>'Cptes de résultat prévisionnels'!I13/'Cptes de résultat prévisionnels'!$I$21</f>
        <v>#DIV/0!</v>
      </c>
      <c r="J87" s="2042"/>
      <c r="K87" s="2041" t="e">
        <f>'Cptes de résultat prévisionnels'!J13/'Cptes de résultat prévisionnels'!$J$21</f>
        <v>#DIV/0!</v>
      </c>
      <c r="L87" s="2042"/>
      <c r="M87" s="2041" t="e">
        <f>'Cptes de résultat prévisionnels'!K13/'Cptes de résultat prévisionnels'!$K$21</f>
        <v>#DIV/0!</v>
      </c>
      <c r="N87" s="2042"/>
      <c r="O87" s="2041" t="e">
        <f>'Cptes de résultat prévisionnels'!L13/'Cptes de résultat prévisionnels'!$L$21</f>
        <v>#DIV/0!</v>
      </c>
      <c r="P87" s="2042"/>
    </row>
    <row r="88" spans="2:16">
      <c r="B88" s="2035" t="s">
        <v>2201</v>
      </c>
      <c r="C88" s="2035"/>
      <c r="D88" s="2036"/>
      <c r="E88" s="2041" t="e">
        <f>'Cptes de résultat prévisionnels'!$G$15/'Cptes de résultat prévisionnels'!$G$21</f>
        <v>#DIV/0!</v>
      </c>
      <c r="F88" s="2042"/>
      <c r="G88" s="2041" t="e">
        <f>'Cptes de résultat prévisionnels'!H15/'Cptes de résultat prévisionnels'!$H$21</f>
        <v>#DIV/0!</v>
      </c>
      <c r="H88" s="2042"/>
      <c r="I88" s="2041" t="e">
        <f>'Cptes de résultat prévisionnels'!I15/'Cptes de résultat prévisionnels'!$I$21</f>
        <v>#DIV/0!</v>
      </c>
      <c r="J88" s="2042"/>
      <c r="K88" s="2041" t="e">
        <f>'Cptes de résultat prévisionnels'!J15/'Cptes de résultat prévisionnels'!$J$21</f>
        <v>#DIV/0!</v>
      </c>
      <c r="L88" s="2042"/>
      <c r="M88" s="2041" t="e">
        <f>'Cptes de résultat prévisionnels'!K15/'Cptes de résultat prévisionnels'!$K$21</f>
        <v>#DIV/0!</v>
      </c>
      <c r="N88" s="2042"/>
      <c r="O88" s="2041" t="e">
        <f>'Cptes de résultat prévisionnels'!L15/'Cptes de résultat prévisionnels'!$L$21</f>
        <v>#DIV/0!</v>
      </c>
      <c r="P88" s="2042"/>
    </row>
    <row r="89" spans="2:16">
      <c r="B89" s="2035" t="s">
        <v>2202</v>
      </c>
      <c r="C89" s="2035"/>
      <c r="D89" s="2036"/>
      <c r="E89" s="2041" t="e">
        <f>'Cptes de résultat prévisionnels'!$G$17/'Cptes de résultat prévisionnels'!$G$21</f>
        <v>#DIV/0!</v>
      </c>
      <c r="F89" s="2042"/>
      <c r="G89" s="2041" t="e">
        <f>'Cptes de résultat prévisionnels'!H17/'Cptes de résultat prévisionnels'!$H$21</f>
        <v>#DIV/0!</v>
      </c>
      <c r="H89" s="2042"/>
      <c r="I89" s="2041" t="e">
        <f>'Cptes de résultat prévisionnels'!I17/'Cptes de résultat prévisionnels'!$I$21</f>
        <v>#DIV/0!</v>
      </c>
      <c r="J89" s="2042"/>
      <c r="K89" s="2041" t="e">
        <f>'Cptes de résultat prévisionnels'!J17/'Cptes de résultat prévisionnels'!$J$21</f>
        <v>#DIV/0!</v>
      </c>
      <c r="L89" s="2042"/>
      <c r="M89" s="2041" t="e">
        <f>'Cptes de résultat prévisionnels'!K17/'Cptes de résultat prévisionnels'!$K$21</f>
        <v>#DIV/0!</v>
      </c>
      <c r="N89" s="2042"/>
      <c r="O89" s="2041" t="e">
        <f>'Cptes de résultat prévisionnels'!L17/'Cptes de résultat prévisionnels'!$L$21</f>
        <v>#DIV/0!</v>
      </c>
      <c r="P89" s="2042"/>
    </row>
    <row r="90" spans="2:16">
      <c r="B90" s="752"/>
      <c r="C90" s="752"/>
      <c r="D90" s="752"/>
      <c r="E90" s="133"/>
      <c r="F90" s="133"/>
      <c r="G90" s="133"/>
      <c r="H90" s="133"/>
      <c r="I90" s="133"/>
      <c r="J90" s="133"/>
      <c r="K90" s="133"/>
      <c r="L90" s="133"/>
      <c r="M90" s="133"/>
      <c r="N90" s="133"/>
      <c r="O90" s="133"/>
    </row>
    <row r="91" spans="2:16">
      <c r="B91" s="2035" t="s">
        <v>2203</v>
      </c>
      <c r="C91" s="2035"/>
      <c r="D91" s="2036"/>
      <c r="E91" s="2041" t="e">
        <f>'Cptes de résultat prévisionnels'!G26/'Cptes de résultat prévisionnels'!$G$32</f>
        <v>#DIV/0!</v>
      </c>
      <c r="F91" s="2042"/>
      <c r="G91" s="2041" t="e">
        <f>'Cptes de résultat prévisionnels'!$H$26/'Cptes de résultat prévisionnels'!$H$32</f>
        <v>#DIV/0!</v>
      </c>
      <c r="H91" s="2042"/>
      <c r="I91" s="2041" t="e">
        <f>'Cptes de résultat prévisionnels'!I26/'Cptes de résultat prévisionnels'!$I$32</f>
        <v>#DIV/0!</v>
      </c>
      <c r="J91" s="2042"/>
      <c r="K91" s="2041" t="e">
        <f>'Cptes de résultat prévisionnels'!$J$26/'Cptes de résultat prévisionnels'!$J$32</f>
        <v>#DIV/0!</v>
      </c>
      <c r="L91" s="2042"/>
      <c r="M91" s="2041" t="e">
        <f>'Cptes de résultat prévisionnels'!$K$26/'Cptes de résultat prévisionnels'!$K$32</f>
        <v>#DIV/0!</v>
      </c>
      <c r="N91" s="2042"/>
      <c r="O91" s="2041" t="e">
        <f>'Cptes de résultat prévisionnels'!$L$26/'Cptes de résultat prévisionnels'!$L$32</f>
        <v>#DIV/0!</v>
      </c>
      <c r="P91" s="2042"/>
    </row>
    <row r="92" spans="2:16">
      <c r="B92" s="2035" t="s">
        <v>2204</v>
      </c>
      <c r="C92" s="2035"/>
      <c r="D92" s="2036"/>
      <c r="E92" s="2041" t="e">
        <f>'Cptes de résultat prévisionnels'!G28/'Cptes de résultat prévisionnels'!$G$32</f>
        <v>#DIV/0!</v>
      </c>
      <c r="F92" s="2042"/>
      <c r="G92" s="2041" t="e">
        <f>'Cptes de résultat prévisionnels'!$H$28/'Cptes de résultat prévisionnels'!$H$32</f>
        <v>#DIV/0!</v>
      </c>
      <c r="H92" s="2042"/>
      <c r="I92" s="2041" t="e">
        <f>'Cptes de résultat prévisionnels'!I28/'Cptes de résultat prévisionnels'!$I$32</f>
        <v>#DIV/0!</v>
      </c>
      <c r="J92" s="2042"/>
      <c r="K92" s="2041" t="e">
        <f>'Cptes de résultat prévisionnels'!$J$28/'Cptes de résultat prévisionnels'!$J$32</f>
        <v>#DIV/0!</v>
      </c>
      <c r="L92" s="2042"/>
      <c r="M92" s="2041" t="e">
        <f>'Cptes de résultat prévisionnels'!$K$28/'Cptes de résultat prévisionnels'!$K$32</f>
        <v>#DIV/0!</v>
      </c>
      <c r="N92" s="2042"/>
      <c r="O92" s="2041" t="e">
        <f>'Cptes de résultat prévisionnels'!$L$28/'Cptes de résultat prévisionnels'!$L$32</f>
        <v>#DIV/0!</v>
      </c>
      <c r="P92" s="2042"/>
    </row>
    <row r="93" spans="2:16">
      <c r="B93" s="2037" t="s">
        <v>2205</v>
      </c>
      <c r="C93" s="2037"/>
      <c r="D93" s="2038"/>
      <c r="E93" s="2039" t="e">
        <f>'Cptes de résultat prévisionnels'!$G$30/'Cptes de résultat prévisionnels'!$G$32</f>
        <v>#DIV/0!</v>
      </c>
      <c r="F93" s="2039"/>
      <c r="G93" s="2039" t="e">
        <f>'Cptes de résultat prévisionnels'!$H$30/'Cptes de résultat prévisionnels'!$H$32</f>
        <v>#DIV/0!</v>
      </c>
      <c r="H93" s="2039"/>
      <c r="I93" s="2039" t="e">
        <f>'Cptes de résultat prévisionnels'!$I$30/'Cptes de résultat prévisionnels'!$I$32</f>
        <v>#DIV/0!</v>
      </c>
      <c r="J93" s="2039"/>
      <c r="K93" s="2039" t="e">
        <f>'Cptes de résultat prévisionnels'!$J$30/'Cptes de résultat prévisionnels'!$J$32</f>
        <v>#DIV/0!</v>
      </c>
      <c r="L93" s="2039"/>
      <c r="M93" s="2039" t="e">
        <f>'Cptes de résultat prévisionnels'!$K$30/'Cptes de résultat prévisionnels'!$K$32</f>
        <v>#DIV/0!</v>
      </c>
      <c r="N93" s="2039"/>
      <c r="O93" s="2039" t="e">
        <f>'Cptes de résultat prévisionnels'!$L$30/'Cptes de résultat prévisionnels'!$L$32</f>
        <v>#DIV/0!</v>
      </c>
      <c r="P93" s="2039"/>
    </row>
    <row r="94" spans="2:16">
      <c r="B94" s="2037"/>
      <c r="C94" s="2037"/>
      <c r="D94" s="2038"/>
      <c r="E94" s="2040"/>
      <c r="F94" s="2040"/>
      <c r="G94" s="2040"/>
      <c r="H94" s="2040"/>
      <c r="I94" s="2040"/>
      <c r="J94" s="2040"/>
      <c r="K94" s="2040"/>
      <c r="L94" s="2040"/>
      <c r="M94" s="2040"/>
      <c r="N94" s="2040"/>
      <c r="O94" s="2040"/>
      <c r="P94" s="2040"/>
    </row>
    <row r="95" spans="2:16">
      <c r="C95" s="133"/>
      <c r="D95" s="133"/>
      <c r="E95" s="133"/>
      <c r="F95" s="133"/>
      <c r="G95" s="133"/>
      <c r="H95" s="133"/>
      <c r="I95" s="133"/>
      <c r="J95" s="133"/>
      <c r="K95" s="133"/>
      <c r="L95" s="133"/>
      <c r="M95" s="133"/>
      <c r="N95" s="133"/>
      <c r="O95" s="133"/>
    </row>
    <row r="96" spans="2:16">
      <c r="C96" s="133"/>
      <c r="D96" s="133"/>
      <c r="E96" s="133"/>
      <c r="F96" s="133"/>
      <c r="G96" s="133"/>
      <c r="H96" s="133"/>
      <c r="I96" s="133"/>
      <c r="J96" s="133"/>
      <c r="K96" s="133"/>
      <c r="L96" s="133"/>
      <c r="M96" s="133"/>
      <c r="N96" s="133"/>
      <c r="O96" s="133"/>
    </row>
    <row r="97" spans="3:15">
      <c r="C97" s="133"/>
      <c r="D97" s="133"/>
      <c r="E97" s="133"/>
      <c r="F97" s="133"/>
      <c r="G97" s="133"/>
      <c r="H97" s="133"/>
      <c r="I97" s="133"/>
      <c r="J97" s="133"/>
      <c r="K97" s="133"/>
      <c r="L97" s="133"/>
      <c r="M97" s="133"/>
      <c r="N97" s="133"/>
      <c r="O97" s="133"/>
    </row>
    <row r="98" spans="3:15">
      <c r="C98" s="133"/>
      <c r="D98" s="133"/>
      <c r="E98" s="133"/>
      <c r="F98" s="133"/>
      <c r="G98" s="133"/>
      <c r="H98" s="133"/>
      <c r="I98" s="133"/>
      <c r="J98" s="133"/>
      <c r="K98" s="133"/>
      <c r="L98" s="133"/>
      <c r="M98" s="133"/>
      <c r="N98" s="133"/>
      <c r="O98" s="133"/>
    </row>
    <row r="99" spans="3:15">
      <c r="C99" s="133"/>
      <c r="D99" s="133"/>
      <c r="E99" s="133"/>
      <c r="F99" s="133"/>
      <c r="G99" s="133"/>
      <c r="H99" s="133"/>
      <c r="I99" s="133"/>
      <c r="J99" s="133"/>
      <c r="K99" s="133"/>
      <c r="L99" s="133"/>
      <c r="M99" s="133"/>
      <c r="N99" s="133"/>
      <c r="O99" s="133"/>
    </row>
    <row r="100" spans="3:15">
      <c r="C100" s="133"/>
      <c r="D100" s="133"/>
      <c r="E100" s="133"/>
      <c r="F100" s="133"/>
      <c r="G100" s="133"/>
      <c r="H100" s="133"/>
      <c r="I100" s="133"/>
      <c r="J100" s="133"/>
      <c r="K100" s="133"/>
      <c r="L100" s="133"/>
      <c r="M100" s="133"/>
      <c r="N100" s="133"/>
      <c r="O100" s="133"/>
    </row>
    <row r="101" spans="3:15">
      <c r="C101" s="133"/>
      <c r="D101" s="133"/>
      <c r="E101" s="133"/>
      <c r="F101" s="133"/>
      <c r="G101" s="133"/>
      <c r="H101" s="133"/>
      <c r="I101" s="133"/>
      <c r="J101" s="133"/>
      <c r="K101" s="133"/>
      <c r="L101" s="133"/>
      <c r="M101" s="133"/>
      <c r="N101" s="133"/>
      <c r="O101" s="133"/>
    </row>
    <row r="102" spans="3:15">
      <c r="C102" s="133"/>
      <c r="D102" s="133"/>
      <c r="E102" s="133"/>
      <c r="F102" s="133"/>
      <c r="G102" s="133"/>
      <c r="H102" s="133"/>
      <c r="I102" s="133"/>
      <c r="J102" s="133"/>
      <c r="K102" s="133"/>
      <c r="L102" s="133"/>
      <c r="M102" s="133"/>
      <c r="N102" s="133"/>
      <c r="O102" s="133"/>
    </row>
    <row r="103" spans="3:15">
      <c r="C103" s="133"/>
      <c r="D103" s="133"/>
      <c r="E103" s="133"/>
      <c r="F103" s="133"/>
      <c r="G103" s="133"/>
      <c r="H103" s="133"/>
      <c r="I103" s="133"/>
      <c r="J103" s="133"/>
      <c r="K103" s="133"/>
      <c r="L103" s="133"/>
      <c r="M103" s="133"/>
      <c r="N103" s="133"/>
      <c r="O103" s="133"/>
    </row>
    <row r="104" spans="3:15">
      <c r="C104" s="133"/>
      <c r="D104" s="133"/>
      <c r="E104" s="133"/>
      <c r="F104" s="133"/>
      <c r="G104" s="133"/>
      <c r="H104" s="133"/>
      <c r="I104" s="133"/>
      <c r="J104" s="133"/>
      <c r="K104" s="133"/>
      <c r="L104" s="133"/>
      <c r="M104" s="133"/>
      <c r="N104" s="133"/>
      <c r="O104" s="133"/>
    </row>
    <row r="105" spans="3:15">
      <c r="C105" s="133"/>
      <c r="D105" s="133"/>
      <c r="E105" s="133"/>
      <c r="F105" s="133"/>
      <c r="G105" s="133"/>
      <c r="H105" s="133"/>
      <c r="I105" s="133"/>
      <c r="J105" s="133"/>
      <c r="K105" s="133"/>
      <c r="L105" s="133"/>
      <c r="M105" s="133"/>
      <c r="N105" s="133"/>
      <c r="O105" s="133"/>
    </row>
    <row r="106" spans="3:15">
      <c r="C106" s="133"/>
      <c r="D106" s="133"/>
      <c r="E106" s="133"/>
      <c r="F106" s="133"/>
      <c r="G106" s="133"/>
      <c r="H106" s="133"/>
      <c r="I106" s="133"/>
      <c r="J106" s="133"/>
      <c r="K106" s="133"/>
      <c r="L106" s="133"/>
      <c r="M106" s="133"/>
      <c r="N106" s="133"/>
      <c r="O106" s="133"/>
    </row>
    <row r="107" spans="3:15">
      <c r="C107" s="133"/>
      <c r="D107" s="133"/>
      <c r="E107" s="133"/>
      <c r="F107" s="133"/>
      <c r="G107" s="133"/>
      <c r="H107" s="133"/>
      <c r="I107" s="133"/>
      <c r="J107" s="133"/>
      <c r="K107" s="133"/>
      <c r="L107" s="133"/>
      <c r="M107" s="133"/>
      <c r="N107" s="133"/>
      <c r="O107" s="133"/>
    </row>
    <row r="108" spans="3:15">
      <c r="C108" s="133"/>
      <c r="D108" s="133"/>
      <c r="E108" s="133"/>
      <c r="F108" s="133"/>
      <c r="G108" s="133"/>
      <c r="H108" s="133"/>
      <c r="I108" s="133"/>
      <c r="J108" s="133"/>
      <c r="K108" s="133"/>
      <c r="L108" s="133"/>
      <c r="M108" s="133"/>
      <c r="N108" s="133"/>
      <c r="O108" s="133"/>
    </row>
    <row r="109" spans="3:15">
      <c r="C109" s="133"/>
      <c r="D109" s="133"/>
      <c r="E109" s="133"/>
      <c r="F109" s="133"/>
      <c r="G109" s="133"/>
      <c r="H109" s="133"/>
      <c r="I109" s="133"/>
      <c r="J109" s="133"/>
      <c r="K109" s="133"/>
      <c r="L109" s="133"/>
      <c r="M109" s="133"/>
      <c r="N109" s="133"/>
      <c r="O109" s="133"/>
    </row>
    <row r="110" spans="3:15">
      <c r="C110" s="133"/>
      <c r="D110" s="133"/>
      <c r="E110" s="133"/>
      <c r="F110" s="133"/>
      <c r="G110" s="133"/>
      <c r="H110" s="133"/>
      <c r="I110" s="133"/>
      <c r="J110" s="133"/>
      <c r="K110" s="133"/>
      <c r="L110" s="133"/>
      <c r="M110" s="133"/>
      <c r="N110" s="133"/>
      <c r="O110" s="133"/>
    </row>
    <row r="111" spans="3:15">
      <c r="C111" s="133"/>
      <c r="D111" s="133"/>
      <c r="E111" s="133"/>
      <c r="F111" s="133"/>
      <c r="G111" s="133"/>
      <c r="H111" s="133"/>
      <c r="I111" s="133"/>
      <c r="J111" s="133"/>
      <c r="K111" s="133"/>
      <c r="L111" s="133"/>
      <c r="M111" s="133"/>
      <c r="N111" s="133"/>
      <c r="O111" s="133"/>
    </row>
    <row r="112" spans="3:15">
      <c r="C112" s="133"/>
      <c r="D112" s="133"/>
      <c r="E112" s="133"/>
      <c r="F112" s="133"/>
      <c r="G112" s="133"/>
      <c r="H112" s="133"/>
      <c r="I112" s="133"/>
      <c r="J112" s="133"/>
      <c r="K112" s="133"/>
      <c r="L112" s="133"/>
      <c r="M112" s="133"/>
      <c r="N112" s="133"/>
      <c r="O112" s="133"/>
    </row>
    <row r="113" spans="3:15">
      <c r="C113" s="133"/>
      <c r="D113" s="133"/>
      <c r="E113" s="133"/>
      <c r="F113" s="133"/>
      <c r="G113" s="133"/>
      <c r="H113" s="133"/>
      <c r="I113" s="133"/>
      <c r="J113" s="133"/>
      <c r="K113" s="133"/>
      <c r="L113" s="133"/>
      <c r="M113" s="133"/>
      <c r="N113" s="133"/>
      <c r="O113" s="133"/>
    </row>
    <row r="114" spans="3:15">
      <c r="C114" s="133"/>
      <c r="D114" s="133"/>
      <c r="E114" s="133"/>
      <c r="F114" s="133"/>
      <c r="G114" s="133"/>
      <c r="H114" s="133"/>
      <c r="I114" s="133"/>
      <c r="J114" s="133"/>
      <c r="K114" s="133"/>
      <c r="L114" s="133"/>
      <c r="M114" s="133"/>
      <c r="N114" s="133"/>
      <c r="O114" s="133"/>
    </row>
    <row r="115" spans="3:15">
      <c r="C115" s="133"/>
      <c r="D115" s="133"/>
      <c r="E115" s="133"/>
      <c r="F115" s="133"/>
      <c r="G115" s="133"/>
      <c r="H115" s="133"/>
      <c r="I115" s="133"/>
      <c r="J115" s="133"/>
      <c r="K115" s="133"/>
      <c r="L115" s="133"/>
      <c r="M115" s="133"/>
      <c r="N115" s="133"/>
      <c r="O115" s="133"/>
    </row>
    <row r="116" spans="3:15">
      <c r="C116" s="133"/>
      <c r="D116" s="133"/>
      <c r="E116" s="133"/>
      <c r="F116" s="133"/>
      <c r="G116" s="133"/>
      <c r="H116" s="133"/>
      <c r="I116" s="133"/>
      <c r="J116" s="133"/>
      <c r="K116" s="133"/>
      <c r="L116" s="133"/>
      <c r="M116" s="133"/>
      <c r="N116" s="133"/>
      <c r="O116" s="133"/>
    </row>
    <row r="117" spans="3:15">
      <c r="C117" s="133"/>
      <c r="D117" s="133"/>
      <c r="E117" s="133"/>
      <c r="F117" s="133"/>
      <c r="G117" s="133"/>
      <c r="H117" s="133"/>
      <c r="I117" s="133"/>
      <c r="J117" s="133"/>
      <c r="K117" s="133"/>
      <c r="L117" s="133"/>
      <c r="M117" s="133"/>
      <c r="N117" s="133"/>
      <c r="O117" s="133"/>
    </row>
    <row r="118" spans="3:15">
      <c r="C118" s="133"/>
      <c r="D118" s="133"/>
      <c r="E118" s="133"/>
      <c r="F118" s="133"/>
      <c r="G118" s="133"/>
      <c r="H118" s="133"/>
      <c r="I118" s="133"/>
      <c r="J118" s="133"/>
      <c r="K118" s="133"/>
      <c r="L118" s="133"/>
      <c r="M118" s="133"/>
      <c r="N118" s="133"/>
      <c r="O118" s="133"/>
    </row>
    <row r="119" spans="3:15">
      <c r="C119" s="133"/>
      <c r="D119" s="133"/>
      <c r="E119" s="133"/>
      <c r="F119" s="133"/>
      <c r="G119" s="133"/>
      <c r="H119" s="133"/>
      <c r="I119" s="133"/>
      <c r="J119" s="133"/>
      <c r="K119" s="133"/>
      <c r="L119" s="133"/>
      <c r="M119" s="133"/>
      <c r="N119" s="133"/>
      <c r="O119" s="133"/>
    </row>
    <row r="120" spans="3:15">
      <c r="C120" s="133"/>
      <c r="D120" s="133"/>
      <c r="E120" s="133"/>
      <c r="F120" s="133"/>
      <c r="G120" s="133"/>
      <c r="H120" s="133"/>
      <c r="I120" s="133"/>
      <c r="J120" s="133"/>
      <c r="K120" s="133"/>
      <c r="L120" s="133"/>
      <c r="M120" s="133"/>
      <c r="N120" s="133"/>
      <c r="O120" s="133"/>
    </row>
    <row r="121" spans="3:15">
      <c r="C121" s="133"/>
      <c r="D121" s="133"/>
      <c r="E121" s="133"/>
      <c r="F121" s="133"/>
      <c r="G121" s="133"/>
      <c r="H121" s="133"/>
      <c r="I121" s="133"/>
      <c r="J121" s="133"/>
      <c r="K121" s="133"/>
      <c r="L121" s="133"/>
      <c r="M121" s="133"/>
      <c r="N121" s="133"/>
      <c r="O121" s="133"/>
    </row>
    <row r="122" spans="3:15">
      <c r="C122" s="133"/>
      <c r="D122" s="133"/>
      <c r="E122" s="133"/>
      <c r="F122" s="133"/>
      <c r="G122" s="133"/>
      <c r="H122" s="133"/>
      <c r="I122" s="133"/>
      <c r="J122" s="133"/>
      <c r="K122" s="133"/>
      <c r="L122" s="133"/>
      <c r="M122" s="133"/>
      <c r="N122" s="133"/>
      <c r="O122" s="133"/>
    </row>
    <row r="123" spans="3:15">
      <c r="C123" s="133"/>
      <c r="D123" s="133"/>
      <c r="E123" s="133"/>
      <c r="F123" s="133"/>
      <c r="G123" s="133"/>
      <c r="H123" s="133"/>
      <c r="I123" s="133"/>
      <c r="J123" s="133"/>
      <c r="K123" s="133"/>
      <c r="L123" s="133"/>
      <c r="M123" s="133"/>
      <c r="N123" s="133"/>
      <c r="O123" s="133"/>
    </row>
    <row r="124" spans="3:15">
      <c r="C124" s="133"/>
      <c r="D124" s="133"/>
      <c r="E124" s="133"/>
      <c r="F124" s="133"/>
      <c r="G124" s="133"/>
      <c r="H124" s="133"/>
      <c r="I124" s="133"/>
      <c r="J124" s="133"/>
      <c r="K124" s="133"/>
      <c r="L124" s="133"/>
      <c r="M124" s="133"/>
      <c r="N124" s="133"/>
      <c r="O124" s="133"/>
    </row>
    <row r="125" spans="3:15">
      <c r="C125" s="133"/>
      <c r="D125" s="133"/>
      <c r="E125" s="133"/>
      <c r="F125" s="133"/>
      <c r="G125" s="133"/>
      <c r="H125" s="133"/>
      <c r="I125" s="133"/>
      <c r="J125" s="133"/>
      <c r="K125" s="133"/>
      <c r="L125" s="133"/>
      <c r="M125" s="133"/>
      <c r="N125" s="133"/>
      <c r="O125" s="133"/>
    </row>
    <row r="126" spans="3:15">
      <c r="C126" s="133"/>
      <c r="D126" s="133"/>
      <c r="E126" s="133"/>
      <c r="F126" s="133"/>
      <c r="G126" s="133"/>
      <c r="H126" s="133"/>
      <c r="I126" s="133"/>
      <c r="J126" s="133"/>
      <c r="K126" s="133"/>
      <c r="L126" s="133"/>
      <c r="M126" s="133"/>
      <c r="N126" s="133"/>
      <c r="O126" s="133"/>
    </row>
    <row r="127" spans="3:15">
      <c r="C127" s="133"/>
      <c r="D127" s="133"/>
      <c r="E127" s="133"/>
      <c r="F127" s="133"/>
      <c r="G127" s="133"/>
      <c r="H127" s="133"/>
      <c r="I127" s="133"/>
      <c r="J127" s="133"/>
      <c r="K127" s="133"/>
      <c r="L127" s="133"/>
      <c r="M127" s="133"/>
      <c r="N127" s="133"/>
      <c r="O127" s="133"/>
    </row>
    <row r="128" spans="3:15">
      <c r="C128" s="133"/>
      <c r="D128" s="133"/>
      <c r="E128" s="133"/>
      <c r="F128" s="133"/>
      <c r="G128" s="133"/>
      <c r="H128" s="133"/>
      <c r="I128" s="133"/>
      <c r="J128" s="133"/>
      <c r="K128" s="133"/>
      <c r="L128" s="133"/>
      <c r="M128" s="133"/>
      <c r="N128" s="133"/>
      <c r="O128" s="133"/>
    </row>
    <row r="129" spans="3:15">
      <c r="C129" s="133"/>
      <c r="D129" s="133"/>
      <c r="E129" s="133"/>
      <c r="F129" s="133"/>
      <c r="G129" s="133"/>
      <c r="H129" s="133"/>
      <c r="I129" s="133"/>
      <c r="J129" s="133"/>
      <c r="K129" s="133"/>
      <c r="L129" s="133"/>
      <c r="M129" s="133"/>
      <c r="N129" s="133"/>
      <c r="O129" s="133"/>
    </row>
    <row r="130" spans="3:15">
      <c r="C130" s="133"/>
      <c r="D130" s="133"/>
      <c r="E130" s="133"/>
      <c r="F130" s="133"/>
      <c r="G130" s="133"/>
      <c r="H130" s="133"/>
      <c r="I130" s="133"/>
      <c r="J130" s="133"/>
      <c r="K130" s="133"/>
      <c r="L130" s="133"/>
      <c r="M130" s="133"/>
      <c r="N130" s="133"/>
      <c r="O130" s="133"/>
    </row>
    <row r="131" spans="3:15">
      <c r="C131" s="133"/>
      <c r="D131" s="133"/>
      <c r="E131" s="133"/>
      <c r="F131" s="133"/>
      <c r="G131" s="133"/>
      <c r="H131" s="133"/>
      <c r="I131" s="133"/>
      <c r="J131" s="133"/>
      <c r="K131" s="133"/>
      <c r="L131" s="133"/>
      <c r="M131" s="133"/>
      <c r="N131" s="133"/>
      <c r="O131" s="133"/>
    </row>
    <row r="132" spans="3:15">
      <c r="C132" s="133"/>
      <c r="D132" s="133"/>
      <c r="E132" s="133"/>
      <c r="F132" s="133"/>
      <c r="G132" s="133"/>
      <c r="H132" s="133"/>
      <c r="I132" s="133"/>
      <c r="J132" s="133"/>
      <c r="K132" s="133"/>
      <c r="L132" s="133"/>
      <c r="M132" s="133"/>
      <c r="N132" s="133"/>
      <c r="O132" s="133"/>
    </row>
    <row r="133" spans="3:15">
      <c r="C133" s="133"/>
      <c r="D133" s="133"/>
      <c r="E133" s="133"/>
      <c r="F133" s="133"/>
      <c r="G133" s="133"/>
      <c r="H133" s="133"/>
      <c r="I133" s="133"/>
      <c r="J133" s="133"/>
      <c r="K133" s="133"/>
      <c r="L133" s="133"/>
      <c r="M133" s="133"/>
      <c r="N133" s="133"/>
      <c r="O133" s="133"/>
    </row>
    <row r="134" spans="3:15">
      <c r="C134" s="133"/>
      <c r="D134" s="133"/>
      <c r="E134" s="133"/>
      <c r="F134" s="133"/>
      <c r="G134" s="133"/>
      <c r="H134" s="133"/>
      <c r="I134" s="133"/>
      <c r="J134" s="133"/>
      <c r="K134" s="133"/>
      <c r="L134" s="133"/>
      <c r="M134" s="133"/>
      <c r="N134" s="133"/>
      <c r="O134" s="133"/>
    </row>
    <row r="135" spans="3:15">
      <c r="C135" s="133"/>
      <c r="D135" s="133"/>
      <c r="E135" s="133"/>
      <c r="F135" s="133"/>
      <c r="G135" s="133"/>
      <c r="H135" s="133"/>
      <c r="I135" s="133"/>
      <c r="J135" s="133"/>
      <c r="K135" s="133"/>
      <c r="L135" s="133"/>
      <c r="M135" s="133"/>
      <c r="N135" s="133"/>
      <c r="O135" s="133"/>
    </row>
    <row r="136" spans="3:15">
      <c r="C136" s="133"/>
      <c r="D136" s="133"/>
      <c r="E136" s="133"/>
      <c r="F136" s="133"/>
      <c r="G136" s="133"/>
      <c r="H136" s="133"/>
      <c r="I136" s="133"/>
      <c r="J136" s="133"/>
      <c r="K136" s="133"/>
      <c r="L136" s="133"/>
      <c r="M136" s="133"/>
      <c r="N136" s="133"/>
      <c r="O136" s="133"/>
    </row>
    <row r="137" spans="3:15">
      <c r="C137" s="133"/>
      <c r="D137" s="133"/>
      <c r="E137" s="133"/>
      <c r="F137" s="133"/>
      <c r="G137" s="133"/>
      <c r="H137" s="133"/>
      <c r="I137" s="133"/>
      <c r="J137" s="133"/>
      <c r="K137" s="133"/>
      <c r="L137" s="133"/>
      <c r="M137" s="133"/>
      <c r="N137" s="133"/>
      <c r="O137" s="133"/>
    </row>
    <row r="138" spans="3:15">
      <c r="C138" s="133"/>
      <c r="D138" s="133"/>
      <c r="E138" s="133"/>
      <c r="F138" s="133"/>
      <c r="G138" s="133"/>
      <c r="H138" s="133"/>
      <c r="I138" s="133"/>
      <c r="J138" s="133"/>
      <c r="K138" s="133"/>
      <c r="L138" s="133"/>
      <c r="M138" s="133"/>
      <c r="N138" s="133"/>
      <c r="O138" s="133"/>
    </row>
    <row r="139" spans="3:15">
      <c r="C139" s="133"/>
      <c r="D139" s="133"/>
      <c r="E139" s="133"/>
      <c r="F139" s="133"/>
      <c r="G139" s="133"/>
      <c r="H139" s="133"/>
      <c r="I139" s="133"/>
      <c r="J139" s="133"/>
      <c r="K139" s="133"/>
      <c r="L139" s="133"/>
      <c r="M139" s="133"/>
      <c r="N139" s="133"/>
      <c r="O139" s="133"/>
    </row>
    <row r="140" spans="3:15">
      <c r="C140" s="133"/>
      <c r="D140" s="133"/>
      <c r="E140" s="133"/>
      <c r="F140" s="133"/>
      <c r="G140" s="133"/>
      <c r="H140" s="133"/>
      <c r="I140" s="133"/>
      <c r="J140" s="133"/>
      <c r="K140" s="133"/>
      <c r="L140" s="133"/>
      <c r="M140" s="133"/>
      <c r="N140" s="133"/>
      <c r="O140" s="133"/>
    </row>
    <row r="141" spans="3:15">
      <c r="C141" s="133"/>
      <c r="D141" s="133"/>
      <c r="E141" s="133"/>
      <c r="F141" s="133"/>
      <c r="G141" s="133"/>
      <c r="H141" s="133"/>
      <c r="I141" s="133"/>
      <c r="J141" s="133"/>
      <c r="K141" s="133"/>
      <c r="L141" s="133"/>
      <c r="M141" s="133"/>
      <c r="N141" s="133"/>
      <c r="O141" s="133"/>
    </row>
    <row r="142" spans="3:15">
      <c r="C142" s="133"/>
      <c r="D142" s="133"/>
      <c r="E142" s="133"/>
      <c r="F142" s="133"/>
      <c r="G142" s="133"/>
      <c r="H142" s="133"/>
      <c r="I142" s="133"/>
      <c r="J142" s="133"/>
      <c r="K142" s="133"/>
      <c r="L142" s="133"/>
      <c r="M142" s="133"/>
      <c r="N142" s="133"/>
      <c r="O142" s="133"/>
    </row>
    <row r="143" spans="3:15">
      <c r="C143" s="133"/>
      <c r="D143" s="133"/>
      <c r="E143" s="133"/>
      <c r="F143" s="133"/>
      <c r="G143" s="133"/>
      <c r="H143" s="133"/>
      <c r="I143" s="133"/>
      <c r="J143" s="133"/>
      <c r="K143" s="133"/>
      <c r="L143" s="133"/>
      <c r="M143" s="133"/>
      <c r="N143" s="133"/>
      <c r="O143" s="133"/>
    </row>
    <row r="144" spans="3:15">
      <c r="C144" s="133"/>
      <c r="D144" s="133"/>
      <c r="E144" s="133"/>
      <c r="F144" s="133"/>
      <c r="G144" s="133"/>
      <c r="H144" s="133"/>
      <c r="I144" s="133"/>
      <c r="J144" s="133"/>
      <c r="K144" s="133"/>
      <c r="L144" s="133"/>
      <c r="M144" s="133"/>
      <c r="N144" s="133"/>
      <c r="O144" s="133"/>
    </row>
    <row r="145" spans="3:15">
      <c r="C145" s="133"/>
      <c r="D145" s="133"/>
      <c r="E145" s="133"/>
      <c r="F145" s="133"/>
      <c r="G145" s="133"/>
      <c r="H145" s="133"/>
      <c r="I145" s="133"/>
      <c r="J145" s="133"/>
      <c r="K145" s="133"/>
      <c r="L145" s="133"/>
      <c r="M145" s="133"/>
      <c r="N145" s="133"/>
      <c r="O145" s="133"/>
    </row>
    <row r="146" spans="3:15">
      <c r="C146" s="133"/>
      <c r="D146" s="133"/>
      <c r="E146" s="133"/>
      <c r="F146" s="133"/>
      <c r="G146" s="133"/>
      <c r="H146" s="133"/>
      <c r="I146" s="133"/>
      <c r="J146" s="133"/>
      <c r="K146" s="133"/>
      <c r="L146" s="133"/>
      <c r="M146" s="133"/>
      <c r="N146" s="133"/>
      <c r="O146" s="133"/>
    </row>
    <row r="147" spans="3:15">
      <c r="C147" s="133"/>
      <c r="D147" s="133"/>
      <c r="E147" s="133"/>
      <c r="F147" s="133"/>
      <c r="G147" s="133"/>
      <c r="H147" s="133"/>
      <c r="I147" s="133"/>
      <c r="J147" s="133"/>
      <c r="K147" s="133"/>
      <c r="L147" s="133"/>
      <c r="M147" s="133"/>
      <c r="N147" s="133"/>
      <c r="O147" s="133"/>
    </row>
    <row r="148" spans="3:15">
      <c r="C148" s="133"/>
      <c r="D148" s="133"/>
      <c r="E148" s="133"/>
      <c r="F148" s="133"/>
      <c r="G148" s="133"/>
      <c r="H148" s="133"/>
      <c r="I148" s="133"/>
      <c r="J148" s="133"/>
      <c r="K148" s="133"/>
      <c r="L148" s="133"/>
      <c r="M148" s="133"/>
      <c r="N148" s="133"/>
      <c r="O148" s="133"/>
    </row>
    <row r="149" spans="3:15">
      <c r="C149" s="133"/>
      <c r="D149" s="133"/>
      <c r="E149" s="133"/>
      <c r="F149" s="133"/>
      <c r="G149" s="133"/>
      <c r="H149" s="133"/>
      <c r="I149" s="133"/>
      <c r="J149" s="133"/>
      <c r="K149" s="133"/>
      <c r="L149" s="133"/>
      <c r="M149" s="133"/>
      <c r="N149" s="133"/>
      <c r="O149" s="133"/>
    </row>
    <row r="150" spans="3:15">
      <c r="C150" s="133"/>
      <c r="D150" s="133"/>
      <c r="E150" s="133"/>
      <c r="F150" s="133"/>
      <c r="G150" s="133"/>
      <c r="H150" s="133"/>
      <c r="I150" s="133"/>
      <c r="J150" s="133"/>
      <c r="K150" s="133"/>
      <c r="L150" s="133"/>
      <c r="M150" s="133"/>
      <c r="N150" s="133"/>
      <c r="O150" s="133"/>
    </row>
    <row r="151" spans="3:15">
      <c r="C151" s="133"/>
      <c r="D151" s="133"/>
      <c r="E151" s="133"/>
      <c r="F151" s="133"/>
      <c r="G151" s="133"/>
      <c r="H151" s="133"/>
      <c r="I151" s="133"/>
      <c r="J151" s="133"/>
      <c r="K151" s="133"/>
      <c r="L151" s="133"/>
      <c r="M151" s="133"/>
      <c r="N151" s="133"/>
      <c r="O151" s="133"/>
    </row>
    <row r="152" spans="3:15">
      <c r="C152" s="133"/>
      <c r="D152" s="133"/>
      <c r="E152" s="133"/>
      <c r="F152" s="133"/>
      <c r="G152" s="133"/>
      <c r="H152" s="133"/>
      <c r="I152" s="133"/>
      <c r="J152" s="133"/>
      <c r="K152" s="133"/>
      <c r="L152" s="133"/>
      <c r="M152" s="133"/>
      <c r="N152" s="133"/>
      <c r="O152" s="133"/>
    </row>
    <row r="153" spans="3:15">
      <c r="C153" s="133"/>
      <c r="D153" s="133"/>
      <c r="E153" s="133"/>
      <c r="F153" s="133"/>
      <c r="G153" s="133"/>
      <c r="H153" s="133"/>
      <c r="I153" s="133"/>
      <c r="J153" s="133"/>
      <c r="K153" s="133"/>
      <c r="L153" s="133"/>
      <c r="M153" s="133"/>
      <c r="N153" s="133"/>
      <c r="O153" s="133"/>
    </row>
    <row r="154" spans="3:15">
      <c r="C154" s="133"/>
      <c r="D154" s="133"/>
      <c r="E154" s="133"/>
      <c r="F154" s="133"/>
      <c r="G154" s="133"/>
      <c r="H154" s="133"/>
      <c r="I154" s="133"/>
      <c r="J154" s="133"/>
      <c r="K154" s="133"/>
      <c r="L154" s="133"/>
      <c r="M154" s="133"/>
      <c r="N154" s="133"/>
      <c r="O154" s="133"/>
    </row>
    <row r="155" spans="3:15">
      <c r="C155" s="133"/>
      <c r="D155" s="133"/>
      <c r="E155" s="133"/>
      <c r="F155" s="133"/>
      <c r="G155" s="133"/>
      <c r="H155" s="133"/>
      <c r="I155" s="133"/>
      <c r="J155" s="133"/>
      <c r="K155" s="133"/>
      <c r="L155" s="133"/>
      <c r="M155" s="133"/>
      <c r="N155" s="133"/>
      <c r="O155" s="133"/>
    </row>
    <row r="156" spans="3:15">
      <c r="C156" s="133"/>
      <c r="D156" s="133"/>
      <c r="E156" s="133"/>
      <c r="F156" s="133"/>
      <c r="G156" s="133"/>
      <c r="H156" s="133"/>
      <c r="I156" s="133"/>
      <c r="J156" s="133"/>
      <c r="K156" s="133"/>
      <c r="L156" s="133"/>
      <c r="M156" s="133"/>
      <c r="N156" s="133"/>
      <c r="O156" s="133"/>
    </row>
    <row r="157" spans="3:15">
      <c r="C157" s="133"/>
      <c r="D157" s="133"/>
      <c r="E157" s="133"/>
      <c r="F157" s="133"/>
      <c r="G157" s="133"/>
      <c r="H157" s="133"/>
      <c r="I157" s="133"/>
      <c r="J157" s="133"/>
      <c r="K157" s="133"/>
      <c r="L157" s="133"/>
      <c r="M157" s="133"/>
      <c r="N157" s="133"/>
      <c r="O157" s="133"/>
    </row>
    <row r="158" spans="3:15">
      <c r="C158" s="133"/>
      <c r="D158" s="133"/>
      <c r="E158" s="133"/>
      <c r="F158" s="133"/>
      <c r="G158" s="133"/>
      <c r="H158" s="133"/>
      <c r="I158" s="133"/>
      <c r="J158" s="133"/>
      <c r="K158" s="133"/>
      <c r="L158" s="133"/>
      <c r="M158" s="133"/>
      <c r="N158" s="133"/>
      <c r="O158" s="133"/>
    </row>
    <row r="159" spans="3:15">
      <c r="C159" s="133"/>
      <c r="D159" s="133"/>
      <c r="E159" s="133"/>
      <c r="F159" s="133"/>
      <c r="G159" s="133"/>
      <c r="H159" s="133"/>
      <c r="I159" s="133"/>
      <c r="J159" s="133"/>
      <c r="K159" s="133"/>
      <c r="L159" s="133"/>
      <c r="M159" s="133"/>
      <c r="N159" s="133"/>
      <c r="O159" s="133"/>
    </row>
    <row r="160" spans="3:15">
      <c r="C160" s="133"/>
      <c r="D160" s="133"/>
      <c r="E160" s="133"/>
      <c r="F160" s="133"/>
      <c r="G160" s="133"/>
      <c r="H160" s="133"/>
      <c r="I160" s="133"/>
      <c r="J160" s="133"/>
      <c r="K160" s="133"/>
      <c r="L160" s="133"/>
      <c r="M160" s="133"/>
      <c r="N160" s="133"/>
      <c r="O160" s="133"/>
    </row>
    <row r="161" spans="3:15">
      <c r="C161" s="133"/>
      <c r="D161" s="133"/>
      <c r="E161" s="133"/>
      <c r="F161" s="133"/>
      <c r="G161" s="133"/>
      <c r="H161" s="133"/>
      <c r="I161" s="133"/>
      <c r="J161" s="133"/>
      <c r="K161" s="133"/>
      <c r="L161" s="133"/>
      <c r="M161" s="133"/>
      <c r="N161" s="133"/>
      <c r="O161" s="133"/>
    </row>
    <row r="162" spans="3:15">
      <c r="C162" s="133"/>
      <c r="D162" s="133"/>
      <c r="E162" s="133"/>
      <c r="F162" s="133"/>
      <c r="G162" s="133"/>
      <c r="H162" s="133"/>
      <c r="I162" s="133"/>
      <c r="J162" s="133"/>
      <c r="K162" s="133"/>
      <c r="L162" s="133"/>
      <c r="M162" s="133"/>
      <c r="N162" s="133"/>
      <c r="O162" s="133"/>
    </row>
    <row r="163" spans="3:15">
      <c r="C163" s="133"/>
      <c r="D163" s="133"/>
      <c r="E163" s="133"/>
      <c r="F163" s="133"/>
      <c r="G163" s="133"/>
      <c r="H163" s="133"/>
      <c r="I163" s="133"/>
      <c r="J163" s="133"/>
      <c r="K163" s="133"/>
      <c r="L163" s="133"/>
      <c r="M163" s="133"/>
      <c r="N163" s="133"/>
      <c r="O163" s="133"/>
    </row>
    <row r="164" spans="3:15">
      <c r="C164" s="133"/>
      <c r="D164" s="133"/>
      <c r="E164" s="133"/>
      <c r="F164" s="133"/>
      <c r="G164" s="133"/>
      <c r="H164" s="133"/>
      <c r="I164" s="133"/>
      <c r="J164" s="133"/>
      <c r="K164" s="133"/>
      <c r="L164" s="133"/>
      <c r="M164" s="133"/>
      <c r="N164" s="133"/>
      <c r="O164" s="133"/>
    </row>
    <row r="165" spans="3:15">
      <c r="C165" s="133"/>
      <c r="D165" s="133"/>
      <c r="E165" s="133"/>
      <c r="F165" s="133"/>
      <c r="G165" s="133"/>
      <c r="H165" s="133"/>
      <c r="I165" s="133"/>
      <c r="J165" s="133"/>
      <c r="K165" s="133"/>
      <c r="L165" s="133"/>
      <c r="M165" s="133"/>
      <c r="N165" s="133"/>
      <c r="O165" s="133"/>
    </row>
    <row r="166" spans="3:15">
      <c r="C166" s="133"/>
      <c r="D166" s="133"/>
      <c r="E166" s="133"/>
      <c r="F166" s="133"/>
      <c r="G166" s="133"/>
      <c r="H166" s="133"/>
      <c r="I166" s="133"/>
      <c r="J166" s="133"/>
      <c r="K166" s="133"/>
      <c r="L166" s="133"/>
      <c r="M166" s="133"/>
      <c r="N166" s="133"/>
      <c r="O166" s="133"/>
    </row>
    <row r="167" spans="3:15">
      <c r="C167" s="133"/>
      <c r="D167" s="133"/>
      <c r="E167" s="133"/>
      <c r="F167" s="133"/>
      <c r="G167" s="133"/>
      <c r="H167" s="133"/>
      <c r="I167" s="133"/>
      <c r="J167" s="133"/>
      <c r="K167" s="133"/>
      <c r="L167" s="133"/>
      <c r="M167" s="133"/>
      <c r="N167" s="133"/>
      <c r="O167" s="133"/>
    </row>
    <row r="168" spans="3:15">
      <c r="C168" s="133"/>
      <c r="D168" s="133"/>
      <c r="E168" s="133"/>
      <c r="F168" s="133"/>
      <c r="G168" s="133"/>
      <c r="H168" s="133"/>
      <c r="I168" s="133"/>
      <c r="J168" s="133"/>
      <c r="K168" s="133"/>
      <c r="L168" s="133"/>
      <c r="M168" s="133"/>
      <c r="N168" s="133"/>
      <c r="O168" s="133"/>
    </row>
    <row r="169" spans="3:15">
      <c r="C169" s="133"/>
      <c r="D169" s="133"/>
      <c r="E169" s="133"/>
      <c r="F169" s="133"/>
      <c r="G169" s="133"/>
      <c r="H169" s="133"/>
      <c r="I169" s="133"/>
      <c r="J169" s="133"/>
      <c r="K169" s="133"/>
      <c r="L169" s="133"/>
      <c r="M169" s="133"/>
      <c r="N169" s="133"/>
      <c r="O169" s="133"/>
    </row>
    <row r="170" spans="3:15">
      <c r="C170" s="133"/>
      <c r="D170" s="133"/>
      <c r="E170" s="133"/>
      <c r="F170" s="133"/>
      <c r="G170" s="133"/>
      <c r="H170" s="133"/>
      <c r="I170" s="133"/>
      <c r="J170" s="133"/>
      <c r="K170" s="133"/>
      <c r="L170" s="133"/>
      <c r="M170" s="133"/>
      <c r="N170" s="133"/>
      <c r="O170" s="133"/>
    </row>
    <row r="171" spans="3:15">
      <c r="C171" s="133"/>
      <c r="D171" s="133"/>
      <c r="E171" s="133"/>
      <c r="F171" s="133"/>
      <c r="G171" s="133"/>
      <c r="H171" s="133"/>
      <c r="I171" s="133"/>
      <c r="J171" s="133"/>
      <c r="K171" s="133"/>
      <c r="L171" s="133"/>
      <c r="M171" s="133"/>
      <c r="N171" s="133"/>
      <c r="O171" s="133"/>
    </row>
    <row r="172" spans="3:15">
      <c r="C172" s="133"/>
      <c r="D172" s="133"/>
      <c r="E172" s="133"/>
      <c r="F172" s="133"/>
      <c r="G172" s="133"/>
      <c r="H172" s="133"/>
      <c r="I172" s="133"/>
      <c r="J172" s="133"/>
      <c r="K172" s="133"/>
      <c r="L172" s="133"/>
      <c r="M172" s="133"/>
      <c r="N172" s="133"/>
      <c r="O172" s="133"/>
    </row>
    <row r="173" spans="3:15">
      <c r="C173" s="133"/>
      <c r="D173" s="133"/>
      <c r="E173" s="133"/>
      <c r="F173" s="133"/>
      <c r="G173" s="133"/>
      <c r="H173" s="133"/>
      <c r="I173" s="133"/>
      <c r="J173" s="133"/>
      <c r="K173" s="133"/>
      <c r="L173" s="133"/>
      <c r="M173" s="133"/>
      <c r="N173" s="133"/>
      <c r="O173" s="133"/>
    </row>
    <row r="174" spans="3:15">
      <c r="C174" s="133"/>
      <c r="D174" s="133"/>
      <c r="E174" s="133"/>
      <c r="F174" s="133"/>
      <c r="G174" s="133"/>
      <c r="H174" s="133"/>
      <c r="I174" s="133"/>
      <c r="J174" s="133"/>
      <c r="K174" s="133"/>
      <c r="L174" s="133"/>
      <c r="M174" s="133"/>
      <c r="N174" s="133"/>
      <c r="O174" s="133"/>
    </row>
    <row r="175" spans="3:15">
      <c r="C175" s="133"/>
      <c r="D175" s="133"/>
      <c r="E175" s="133"/>
      <c r="F175" s="133"/>
      <c r="G175" s="133"/>
      <c r="H175" s="133"/>
      <c r="I175" s="133"/>
      <c r="J175" s="133"/>
      <c r="K175" s="133"/>
      <c r="L175" s="133"/>
      <c r="M175" s="133"/>
      <c r="N175" s="133"/>
      <c r="O175" s="133"/>
    </row>
    <row r="176" spans="3:15">
      <c r="C176" s="133"/>
      <c r="D176" s="133"/>
      <c r="E176" s="133"/>
      <c r="F176" s="133"/>
      <c r="G176" s="133"/>
      <c r="H176" s="133"/>
      <c r="I176" s="133"/>
      <c r="J176" s="133"/>
      <c r="K176" s="133"/>
      <c r="L176" s="133"/>
      <c r="M176" s="133"/>
      <c r="N176" s="133"/>
      <c r="O176" s="133"/>
    </row>
    <row r="177" spans="3:15">
      <c r="C177" s="133"/>
      <c r="D177" s="133"/>
      <c r="E177" s="133"/>
      <c r="F177" s="133"/>
      <c r="G177" s="133"/>
      <c r="H177" s="133"/>
      <c r="I177" s="133"/>
      <c r="J177" s="133"/>
      <c r="K177" s="133"/>
      <c r="L177" s="133"/>
      <c r="M177" s="133"/>
      <c r="N177" s="133"/>
      <c r="O177" s="133"/>
    </row>
    <row r="178" spans="3:15">
      <c r="C178" s="133"/>
      <c r="D178" s="133"/>
      <c r="E178" s="133"/>
      <c r="F178" s="133"/>
      <c r="G178" s="133"/>
      <c r="H178" s="133"/>
      <c r="I178" s="133"/>
      <c r="J178" s="133"/>
      <c r="K178" s="133"/>
      <c r="L178" s="133"/>
      <c r="M178" s="133"/>
      <c r="N178" s="133"/>
      <c r="O178" s="133"/>
    </row>
    <row r="179" spans="3:15">
      <c r="C179" s="133"/>
      <c r="D179" s="133"/>
      <c r="E179" s="133"/>
      <c r="F179" s="133"/>
      <c r="G179" s="133"/>
      <c r="H179" s="133"/>
      <c r="I179" s="133"/>
      <c r="J179" s="133"/>
      <c r="K179" s="133"/>
      <c r="L179" s="133"/>
      <c r="M179" s="133"/>
      <c r="N179" s="133"/>
      <c r="O179" s="133"/>
    </row>
    <row r="180" spans="3:15">
      <c r="C180" s="133"/>
      <c r="D180" s="133"/>
      <c r="E180" s="133"/>
      <c r="F180" s="133"/>
      <c r="G180" s="133"/>
      <c r="H180" s="133"/>
      <c r="I180" s="133"/>
      <c r="J180" s="133"/>
      <c r="K180" s="133"/>
      <c r="L180" s="133"/>
      <c r="M180" s="133"/>
      <c r="N180" s="133"/>
      <c r="O180" s="133"/>
    </row>
    <row r="181" spans="3:15">
      <c r="C181" s="133"/>
      <c r="D181" s="133"/>
      <c r="E181" s="133"/>
      <c r="F181" s="133"/>
      <c r="G181" s="133"/>
      <c r="H181" s="133"/>
      <c r="I181" s="133"/>
      <c r="J181" s="133"/>
      <c r="K181" s="133"/>
      <c r="L181" s="133"/>
      <c r="M181" s="133"/>
      <c r="N181" s="133"/>
      <c r="O181" s="133"/>
    </row>
    <row r="182" spans="3:15">
      <c r="C182" s="133"/>
      <c r="D182" s="133"/>
      <c r="E182" s="133"/>
      <c r="F182" s="133"/>
      <c r="G182" s="133"/>
      <c r="H182" s="133"/>
      <c r="I182" s="133"/>
      <c r="J182" s="133"/>
      <c r="K182" s="133"/>
      <c r="L182" s="133"/>
      <c r="M182" s="133"/>
      <c r="N182" s="133"/>
      <c r="O182" s="133"/>
    </row>
    <row r="183" spans="3:15">
      <c r="C183" s="133"/>
      <c r="D183" s="133"/>
      <c r="E183" s="133"/>
      <c r="F183" s="133"/>
      <c r="G183" s="133"/>
      <c r="H183" s="133"/>
      <c r="I183" s="133"/>
      <c r="J183" s="133"/>
      <c r="K183" s="133"/>
      <c r="L183" s="133"/>
      <c r="M183" s="133"/>
      <c r="N183" s="133"/>
      <c r="O183" s="133"/>
    </row>
    <row r="184" spans="3:15">
      <c r="C184" s="133"/>
      <c r="D184" s="133"/>
      <c r="E184" s="133"/>
      <c r="F184" s="133"/>
      <c r="G184" s="133"/>
      <c r="H184" s="133"/>
      <c r="I184" s="133"/>
      <c r="J184" s="133"/>
      <c r="K184" s="133"/>
      <c r="L184" s="133"/>
      <c r="M184" s="133"/>
      <c r="N184" s="133"/>
      <c r="O184" s="133"/>
    </row>
    <row r="185" spans="3:15">
      <c r="C185" s="133"/>
      <c r="D185" s="133"/>
      <c r="E185" s="133"/>
      <c r="F185" s="133"/>
      <c r="G185" s="133"/>
      <c r="H185" s="133"/>
      <c r="I185" s="133"/>
      <c r="J185" s="133"/>
      <c r="K185" s="133"/>
      <c r="L185" s="133"/>
      <c r="M185" s="133"/>
      <c r="N185" s="133"/>
      <c r="O185" s="133"/>
    </row>
    <row r="186" spans="3:15">
      <c r="C186" s="133"/>
      <c r="D186" s="133"/>
      <c r="E186" s="133"/>
      <c r="F186" s="133"/>
      <c r="G186" s="133"/>
      <c r="H186" s="133"/>
      <c r="I186" s="133"/>
      <c r="J186" s="133"/>
      <c r="K186" s="133"/>
      <c r="L186" s="133"/>
      <c r="M186" s="133"/>
      <c r="N186" s="133"/>
      <c r="O186" s="133"/>
    </row>
    <row r="187" spans="3:15">
      <c r="C187" s="133"/>
      <c r="D187" s="133"/>
      <c r="E187" s="133"/>
      <c r="F187" s="133"/>
      <c r="G187" s="133"/>
      <c r="H187" s="133"/>
      <c r="I187" s="133"/>
      <c r="J187" s="133"/>
      <c r="K187" s="133"/>
      <c r="L187" s="133"/>
      <c r="M187" s="133"/>
      <c r="N187" s="133"/>
      <c r="O187" s="133"/>
    </row>
    <row r="188" spans="3:15">
      <c r="C188" s="133"/>
      <c r="D188" s="133"/>
      <c r="E188" s="133"/>
      <c r="F188" s="133"/>
      <c r="G188" s="133"/>
      <c r="H188" s="133"/>
      <c r="I188" s="133"/>
      <c r="J188" s="133"/>
      <c r="K188" s="133"/>
      <c r="L188" s="133"/>
      <c r="M188" s="133"/>
      <c r="N188" s="133"/>
      <c r="O188" s="133"/>
    </row>
    <row r="189" spans="3:15">
      <c r="C189" s="133"/>
      <c r="D189" s="133"/>
      <c r="E189" s="133"/>
      <c r="F189" s="133"/>
      <c r="G189" s="133"/>
      <c r="H189" s="133"/>
      <c r="I189" s="133"/>
      <c r="J189" s="133"/>
      <c r="K189" s="133"/>
      <c r="L189" s="133"/>
      <c r="M189" s="133"/>
      <c r="N189" s="133"/>
      <c r="O189" s="133"/>
    </row>
    <row r="190" spans="3:15">
      <c r="C190" s="133"/>
      <c r="D190" s="133"/>
      <c r="E190" s="133"/>
      <c r="F190" s="133"/>
      <c r="G190" s="133"/>
      <c r="H190" s="133"/>
      <c r="I190" s="133"/>
      <c r="J190" s="133"/>
      <c r="K190" s="133"/>
      <c r="L190" s="133"/>
      <c r="M190" s="133"/>
      <c r="N190" s="133"/>
      <c r="O190" s="133"/>
    </row>
    <row r="191" spans="3:15">
      <c r="C191" s="133"/>
      <c r="D191" s="133"/>
      <c r="E191" s="133"/>
      <c r="F191" s="133"/>
      <c r="G191" s="133"/>
      <c r="H191" s="133"/>
      <c r="I191" s="133"/>
      <c r="J191" s="133"/>
      <c r="K191" s="133"/>
      <c r="L191" s="133"/>
      <c r="M191" s="133"/>
      <c r="N191" s="133"/>
      <c r="O191" s="133"/>
    </row>
    <row r="192" spans="3:15">
      <c r="C192" s="133"/>
      <c r="D192" s="133"/>
      <c r="E192" s="133"/>
      <c r="F192" s="133"/>
      <c r="G192" s="133"/>
      <c r="H192" s="133"/>
      <c r="I192" s="133"/>
      <c r="J192" s="133"/>
      <c r="K192" s="133"/>
      <c r="L192" s="133"/>
      <c r="M192" s="133"/>
      <c r="N192" s="133"/>
      <c r="O192" s="133"/>
    </row>
    <row r="193" spans="3:15">
      <c r="C193" s="133"/>
      <c r="D193" s="133"/>
      <c r="E193" s="133"/>
      <c r="F193" s="133"/>
      <c r="G193" s="133"/>
      <c r="H193" s="133"/>
      <c r="I193" s="133"/>
      <c r="J193" s="133"/>
      <c r="K193" s="133"/>
      <c r="L193" s="133"/>
      <c r="M193" s="133"/>
      <c r="N193" s="133"/>
      <c r="O193" s="133"/>
    </row>
    <row r="194" spans="3:15">
      <c r="C194" s="133"/>
      <c r="D194" s="133"/>
      <c r="E194" s="133"/>
      <c r="F194" s="133"/>
      <c r="G194" s="133"/>
      <c r="H194" s="133"/>
      <c r="I194" s="133"/>
      <c r="J194" s="133"/>
      <c r="K194" s="133"/>
      <c r="L194" s="133"/>
      <c r="M194" s="133"/>
      <c r="N194" s="133"/>
      <c r="O194" s="133"/>
    </row>
    <row r="195" spans="3:15">
      <c r="C195" s="133"/>
      <c r="D195" s="133"/>
      <c r="E195" s="133"/>
      <c r="F195" s="133"/>
      <c r="G195" s="133"/>
      <c r="H195" s="133"/>
      <c r="I195" s="133"/>
      <c r="J195" s="133"/>
      <c r="K195" s="133"/>
      <c r="L195" s="133"/>
      <c r="M195" s="133"/>
      <c r="N195" s="133"/>
      <c r="O195" s="133"/>
    </row>
    <row r="196" spans="3:15">
      <c r="C196" s="133"/>
      <c r="D196" s="133"/>
      <c r="E196" s="133"/>
      <c r="F196" s="133"/>
      <c r="G196" s="133"/>
      <c r="H196" s="133"/>
      <c r="I196" s="133"/>
      <c r="J196" s="133"/>
      <c r="K196" s="133"/>
      <c r="L196" s="133"/>
      <c r="M196" s="133"/>
      <c r="N196" s="133"/>
      <c r="O196" s="133"/>
    </row>
    <row r="197" spans="3:15">
      <c r="C197" s="133"/>
      <c r="D197" s="133"/>
      <c r="E197" s="133"/>
      <c r="F197" s="133"/>
      <c r="G197" s="133"/>
      <c r="H197" s="133"/>
      <c r="I197" s="133"/>
      <c r="J197" s="133"/>
      <c r="K197" s="133"/>
      <c r="L197" s="133"/>
      <c r="M197" s="133"/>
      <c r="N197" s="133"/>
      <c r="O197" s="133"/>
    </row>
    <row r="198" spans="3:15">
      <c r="C198" s="133"/>
      <c r="D198" s="133"/>
      <c r="E198" s="133"/>
      <c r="F198" s="133"/>
      <c r="G198" s="133"/>
      <c r="H198" s="133"/>
      <c r="I198" s="133"/>
      <c r="J198" s="133"/>
      <c r="K198" s="133"/>
      <c r="L198" s="133"/>
      <c r="M198" s="133"/>
      <c r="N198" s="133"/>
      <c r="O198" s="133"/>
    </row>
    <row r="199" spans="3:15">
      <c r="C199" s="133"/>
      <c r="D199" s="133"/>
      <c r="E199" s="133"/>
      <c r="F199" s="133"/>
      <c r="G199" s="133"/>
      <c r="H199" s="133"/>
      <c r="I199" s="133"/>
      <c r="J199" s="133"/>
      <c r="K199" s="133"/>
      <c r="L199" s="133"/>
      <c r="M199" s="133"/>
      <c r="N199" s="133"/>
      <c r="O199" s="133"/>
    </row>
    <row r="200" spans="3:15">
      <c r="C200" s="133"/>
      <c r="D200" s="133"/>
      <c r="E200" s="133"/>
      <c r="F200" s="133"/>
      <c r="G200" s="133"/>
      <c r="H200" s="133"/>
      <c r="I200" s="133"/>
      <c r="J200" s="133"/>
      <c r="K200" s="133"/>
      <c r="L200" s="133"/>
      <c r="M200" s="133"/>
      <c r="N200" s="133"/>
      <c r="O200" s="133"/>
    </row>
    <row r="201" spans="3:15">
      <c r="C201" s="133"/>
      <c r="D201" s="133"/>
      <c r="E201" s="133"/>
      <c r="F201" s="133"/>
      <c r="G201" s="133"/>
      <c r="H201" s="133"/>
      <c r="I201" s="133"/>
      <c r="J201" s="133"/>
      <c r="K201" s="133"/>
      <c r="L201" s="133"/>
      <c r="M201" s="133"/>
      <c r="N201" s="133"/>
      <c r="O201" s="133"/>
    </row>
    <row r="202" spans="3:15">
      <c r="C202" s="133"/>
      <c r="D202" s="133"/>
      <c r="E202" s="133"/>
      <c r="F202" s="133"/>
      <c r="G202" s="133"/>
      <c r="H202" s="133"/>
      <c r="I202" s="133"/>
      <c r="J202" s="133"/>
      <c r="K202" s="133"/>
      <c r="L202" s="133"/>
      <c r="M202" s="133"/>
      <c r="N202" s="133"/>
      <c r="O202" s="133"/>
    </row>
    <row r="203" spans="3:15">
      <c r="C203" s="133"/>
      <c r="D203" s="133"/>
      <c r="E203" s="133"/>
      <c r="F203" s="133"/>
      <c r="G203" s="133"/>
      <c r="H203" s="133"/>
      <c r="I203" s="133"/>
      <c r="J203" s="133"/>
      <c r="K203" s="133"/>
      <c r="L203" s="133"/>
      <c r="M203" s="133"/>
      <c r="N203" s="133"/>
      <c r="O203" s="133"/>
    </row>
    <row r="204" spans="3:15">
      <c r="C204" s="133"/>
      <c r="D204" s="133"/>
      <c r="E204" s="133"/>
      <c r="F204" s="133"/>
      <c r="G204" s="133"/>
      <c r="H204" s="133"/>
      <c r="I204" s="133"/>
      <c r="J204" s="133"/>
      <c r="K204" s="133"/>
      <c r="L204" s="133"/>
      <c r="M204" s="133"/>
      <c r="N204" s="133"/>
      <c r="O204" s="133"/>
    </row>
    <row r="205" spans="3:15">
      <c r="C205" s="133"/>
      <c r="D205" s="133"/>
      <c r="E205" s="133"/>
      <c r="F205" s="133"/>
      <c r="G205" s="133"/>
      <c r="H205" s="133"/>
      <c r="I205" s="133"/>
      <c r="J205" s="133"/>
      <c r="K205" s="133"/>
      <c r="L205" s="133"/>
      <c r="M205" s="133"/>
      <c r="N205" s="133"/>
      <c r="O205" s="133"/>
    </row>
    <row r="206" spans="3:15">
      <c r="C206" s="133"/>
      <c r="D206" s="133"/>
      <c r="E206" s="133"/>
      <c r="F206" s="133"/>
      <c r="G206" s="133"/>
      <c r="H206" s="133"/>
      <c r="I206" s="133"/>
      <c r="J206" s="133"/>
      <c r="K206" s="133"/>
      <c r="L206" s="133"/>
      <c r="M206" s="133"/>
      <c r="N206" s="133"/>
      <c r="O206" s="133"/>
    </row>
    <row r="207" spans="3:15">
      <c r="C207" s="133"/>
      <c r="D207" s="133"/>
      <c r="E207" s="133"/>
      <c r="F207" s="133"/>
      <c r="G207" s="133"/>
      <c r="H207" s="133"/>
      <c r="I207" s="133"/>
      <c r="J207" s="133"/>
      <c r="K207" s="133"/>
      <c r="L207" s="133"/>
      <c r="M207" s="133"/>
      <c r="N207" s="133"/>
      <c r="O207" s="133"/>
    </row>
    <row r="208" spans="3:15">
      <c r="C208" s="133"/>
      <c r="D208" s="133"/>
      <c r="E208" s="133"/>
      <c r="F208" s="133"/>
      <c r="G208" s="133"/>
      <c r="H208" s="133"/>
      <c r="I208" s="133"/>
      <c r="J208" s="133"/>
      <c r="K208" s="133"/>
      <c r="L208" s="133"/>
      <c r="M208" s="133"/>
      <c r="N208" s="133"/>
      <c r="O208" s="133"/>
    </row>
    <row r="209" spans="3:15">
      <c r="C209" s="133"/>
      <c r="D209" s="133"/>
      <c r="E209" s="133"/>
      <c r="F209" s="133"/>
      <c r="G209" s="133"/>
      <c r="H209" s="133"/>
      <c r="I209" s="133"/>
      <c r="J209" s="133"/>
      <c r="K209" s="133"/>
      <c r="L209" s="133"/>
      <c r="M209" s="133"/>
      <c r="N209" s="133"/>
      <c r="O209" s="133"/>
    </row>
    <row r="210" spans="3:15">
      <c r="C210" s="133"/>
      <c r="D210" s="133"/>
      <c r="E210" s="133"/>
      <c r="F210" s="133"/>
      <c r="G210" s="133"/>
      <c r="H210" s="133"/>
      <c r="I210" s="133"/>
      <c r="J210" s="133"/>
      <c r="K210" s="133"/>
      <c r="L210" s="133"/>
      <c r="M210" s="133"/>
      <c r="N210" s="133"/>
      <c r="O210" s="133"/>
    </row>
    <row r="211" spans="3:15">
      <c r="C211" s="133"/>
      <c r="D211" s="133"/>
      <c r="E211" s="133"/>
      <c r="F211" s="133"/>
      <c r="G211" s="133"/>
      <c r="H211" s="133"/>
      <c r="I211" s="133"/>
      <c r="J211" s="133"/>
      <c r="K211" s="133"/>
      <c r="L211" s="133"/>
      <c r="M211" s="133"/>
      <c r="N211" s="133"/>
      <c r="O211" s="133"/>
    </row>
    <row r="212" spans="3:15">
      <c r="C212" s="133"/>
      <c r="D212" s="133"/>
      <c r="E212" s="133"/>
      <c r="F212" s="133"/>
      <c r="G212" s="133"/>
      <c r="H212" s="133"/>
      <c r="I212" s="133"/>
      <c r="J212" s="133"/>
      <c r="K212" s="133"/>
      <c r="L212" s="133"/>
      <c r="M212" s="133"/>
      <c r="N212" s="133"/>
      <c r="O212" s="133"/>
    </row>
    <row r="213" spans="3:15">
      <c r="C213" s="133"/>
      <c r="D213" s="133"/>
      <c r="E213" s="133"/>
      <c r="F213" s="133"/>
      <c r="G213" s="133"/>
      <c r="H213" s="133"/>
      <c r="I213" s="133"/>
      <c r="J213" s="133"/>
      <c r="K213" s="133"/>
      <c r="L213" s="133"/>
      <c r="M213" s="133"/>
      <c r="N213" s="133"/>
      <c r="O213" s="133"/>
    </row>
    <row r="214" spans="3:15">
      <c r="C214" s="133"/>
      <c r="D214" s="133"/>
      <c r="E214" s="133"/>
      <c r="F214" s="133"/>
      <c r="G214" s="133"/>
      <c r="H214" s="133"/>
      <c r="I214" s="133"/>
      <c r="J214" s="133"/>
      <c r="K214" s="133"/>
      <c r="L214" s="133"/>
      <c r="M214" s="133"/>
      <c r="N214" s="133"/>
      <c r="O214" s="133"/>
    </row>
    <row r="215" spans="3:15">
      <c r="C215" s="133"/>
      <c r="D215" s="133"/>
      <c r="E215" s="133"/>
      <c r="F215" s="133"/>
      <c r="G215" s="133"/>
      <c r="H215" s="133"/>
      <c r="I215" s="133"/>
      <c r="J215" s="133"/>
      <c r="K215" s="133"/>
      <c r="L215" s="133"/>
      <c r="M215" s="133"/>
      <c r="N215" s="133"/>
      <c r="O215" s="133"/>
    </row>
    <row r="216" spans="3:15">
      <c r="C216" s="133"/>
      <c r="D216" s="133"/>
      <c r="E216" s="133"/>
      <c r="F216" s="133"/>
      <c r="G216" s="133"/>
      <c r="H216" s="133"/>
      <c r="I216" s="133"/>
      <c r="J216" s="133"/>
      <c r="K216" s="133"/>
      <c r="L216" s="133"/>
      <c r="M216" s="133"/>
      <c r="N216" s="133"/>
      <c r="O216" s="133"/>
    </row>
    <row r="217" spans="3:15">
      <c r="C217" s="133"/>
      <c r="D217" s="133"/>
      <c r="E217" s="133"/>
      <c r="F217" s="133"/>
      <c r="G217" s="133"/>
      <c r="H217" s="133"/>
      <c r="I217" s="133"/>
      <c r="J217" s="133"/>
      <c r="K217" s="133"/>
      <c r="L217" s="133"/>
      <c r="M217" s="133"/>
      <c r="N217" s="133"/>
      <c r="O217" s="133"/>
    </row>
    <row r="218" spans="3:15">
      <c r="C218" s="133"/>
      <c r="D218" s="133"/>
      <c r="E218" s="133"/>
      <c r="F218" s="133"/>
      <c r="G218" s="133"/>
      <c r="H218" s="133"/>
      <c r="I218" s="133"/>
      <c r="J218" s="133"/>
      <c r="K218" s="133"/>
      <c r="L218" s="133"/>
      <c r="M218" s="133"/>
      <c r="N218" s="133"/>
      <c r="O218" s="133"/>
    </row>
    <row r="219" spans="3:15">
      <c r="C219" s="133"/>
      <c r="D219" s="133"/>
      <c r="E219" s="133"/>
      <c r="F219" s="133"/>
      <c r="G219" s="133"/>
      <c r="H219" s="133"/>
      <c r="I219" s="133"/>
      <c r="J219" s="133"/>
      <c r="K219" s="133"/>
      <c r="L219" s="133"/>
      <c r="M219" s="133"/>
      <c r="N219" s="133"/>
      <c r="O219" s="133"/>
    </row>
    <row r="220" spans="3:15">
      <c r="C220" s="133"/>
      <c r="D220" s="133"/>
      <c r="E220" s="133"/>
      <c r="F220" s="133"/>
      <c r="G220" s="133"/>
      <c r="H220" s="133"/>
      <c r="I220" s="133"/>
      <c r="J220" s="133"/>
      <c r="K220" s="133"/>
      <c r="L220" s="133"/>
      <c r="M220" s="133"/>
      <c r="N220" s="133"/>
      <c r="O220" s="133"/>
    </row>
    <row r="221" spans="3:15">
      <c r="C221" s="133"/>
      <c r="D221" s="133"/>
      <c r="E221" s="133"/>
      <c r="F221" s="133"/>
      <c r="G221" s="133"/>
      <c r="H221" s="133"/>
      <c r="I221" s="133"/>
      <c r="J221" s="133"/>
      <c r="K221" s="133"/>
      <c r="L221" s="133"/>
      <c r="M221" s="133"/>
      <c r="N221" s="133"/>
      <c r="O221" s="133"/>
    </row>
    <row r="222" spans="3:15">
      <c r="C222" s="133"/>
      <c r="D222" s="133"/>
      <c r="E222" s="133"/>
      <c r="F222" s="133"/>
      <c r="G222" s="133"/>
      <c r="H222" s="133"/>
      <c r="I222" s="133"/>
      <c r="J222" s="133"/>
      <c r="K222" s="133"/>
      <c r="L222" s="133"/>
      <c r="M222" s="133"/>
      <c r="N222" s="133"/>
      <c r="O222" s="133"/>
    </row>
    <row r="223" spans="3:15">
      <c r="C223" s="133"/>
      <c r="D223" s="133"/>
      <c r="E223" s="133"/>
      <c r="F223" s="133"/>
      <c r="G223" s="133"/>
      <c r="H223" s="133"/>
      <c r="I223" s="133"/>
      <c r="J223" s="133"/>
      <c r="K223" s="133"/>
      <c r="L223" s="133"/>
      <c r="M223" s="133"/>
      <c r="N223" s="133"/>
      <c r="O223" s="133"/>
    </row>
    <row r="224" spans="3:15">
      <c r="C224" s="133"/>
      <c r="D224" s="133"/>
      <c r="E224" s="133"/>
      <c r="F224" s="133"/>
      <c r="G224" s="133"/>
      <c r="H224" s="133"/>
      <c r="I224" s="133"/>
      <c r="J224" s="133"/>
      <c r="K224" s="133"/>
      <c r="L224" s="133"/>
      <c r="M224" s="133"/>
      <c r="N224" s="133"/>
      <c r="O224" s="133"/>
    </row>
    <row r="225" spans="3:15">
      <c r="C225" s="133"/>
      <c r="D225" s="133"/>
      <c r="E225" s="133"/>
      <c r="F225" s="133"/>
      <c r="G225" s="133"/>
      <c r="H225" s="133"/>
      <c r="I225" s="133"/>
      <c r="J225" s="133"/>
      <c r="K225" s="133"/>
      <c r="L225" s="133"/>
      <c r="M225" s="133"/>
      <c r="N225" s="133"/>
      <c r="O225" s="133"/>
    </row>
    <row r="226" spans="3:15">
      <c r="C226" s="133"/>
      <c r="D226" s="133"/>
      <c r="E226" s="133"/>
      <c r="F226" s="133"/>
      <c r="G226" s="133"/>
      <c r="H226" s="133"/>
      <c r="I226" s="133"/>
      <c r="J226" s="133"/>
      <c r="K226" s="133"/>
      <c r="L226" s="133"/>
      <c r="M226" s="133"/>
      <c r="N226" s="133"/>
      <c r="O226" s="133"/>
    </row>
    <row r="227" spans="3:15">
      <c r="C227" s="133"/>
      <c r="D227" s="133"/>
      <c r="E227" s="133"/>
      <c r="F227" s="133"/>
      <c r="G227" s="133"/>
      <c r="H227" s="133"/>
      <c r="I227" s="133"/>
      <c r="J227" s="133"/>
      <c r="K227" s="133"/>
      <c r="L227" s="133"/>
      <c r="M227" s="133"/>
      <c r="N227" s="133"/>
      <c r="O227" s="133"/>
    </row>
    <row r="228" spans="3:15">
      <c r="C228" s="133"/>
      <c r="D228" s="133"/>
      <c r="E228" s="133"/>
      <c r="F228" s="133"/>
      <c r="G228" s="133"/>
      <c r="H228" s="133"/>
      <c r="I228" s="133"/>
      <c r="J228" s="133"/>
      <c r="K228" s="133"/>
      <c r="L228" s="133"/>
      <c r="M228" s="133"/>
      <c r="N228" s="133"/>
      <c r="O228" s="133"/>
    </row>
    <row r="229" spans="3:15">
      <c r="C229" s="133"/>
      <c r="D229" s="133"/>
      <c r="E229" s="133"/>
      <c r="F229" s="133"/>
      <c r="G229" s="133"/>
      <c r="H229" s="133"/>
      <c r="I229" s="133"/>
      <c r="J229" s="133"/>
      <c r="K229" s="133"/>
      <c r="L229" s="133"/>
      <c r="M229" s="133"/>
      <c r="N229" s="133"/>
      <c r="O229" s="133"/>
    </row>
    <row r="230" spans="3:15">
      <c r="C230" s="133"/>
      <c r="D230" s="133"/>
      <c r="E230" s="133"/>
      <c r="F230" s="133"/>
      <c r="G230" s="133"/>
      <c r="H230" s="133"/>
      <c r="I230" s="133"/>
      <c r="J230" s="133"/>
      <c r="K230" s="133"/>
      <c r="L230" s="133"/>
      <c r="M230" s="133"/>
      <c r="N230" s="133"/>
      <c r="O230" s="133"/>
    </row>
    <row r="231" spans="3:15">
      <c r="C231" s="133"/>
      <c r="D231" s="133"/>
      <c r="E231" s="133"/>
      <c r="F231" s="133"/>
      <c r="G231" s="133"/>
      <c r="H231" s="133"/>
      <c r="I231" s="133"/>
      <c r="J231" s="133"/>
      <c r="K231" s="133"/>
      <c r="L231" s="133"/>
      <c r="M231" s="133"/>
      <c r="N231" s="133"/>
      <c r="O231" s="133"/>
    </row>
    <row r="232" spans="3:15">
      <c r="C232" s="133"/>
      <c r="D232" s="133"/>
      <c r="E232" s="133"/>
      <c r="F232" s="133"/>
      <c r="G232" s="133"/>
      <c r="H232" s="133"/>
      <c r="I232" s="133"/>
      <c r="J232" s="133"/>
      <c r="K232" s="133"/>
      <c r="L232" s="133"/>
      <c r="M232" s="133"/>
      <c r="N232" s="133"/>
      <c r="O232" s="133"/>
    </row>
    <row r="233" spans="3:15">
      <c r="C233" s="133"/>
      <c r="D233" s="133"/>
      <c r="E233" s="133"/>
      <c r="F233" s="133"/>
      <c r="G233" s="133"/>
      <c r="H233" s="133"/>
      <c r="I233" s="133"/>
      <c r="J233" s="133"/>
      <c r="K233" s="133"/>
      <c r="L233" s="133"/>
      <c r="M233" s="133"/>
      <c r="N233" s="133"/>
      <c r="O233" s="133"/>
    </row>
    <row r="234" spans="3:15">
      <c r="C234" s="133"/>
      <c r="D234" s="133"/>
      <c r="E234" s="133"/>
      <c r="F234" s="133"/>
      <c r="G234" s="133"/>
      <c r="H234" s="133"/>
      <c r="I234" s="133"/>
      <c r="J234" s="133"/>
      <c r="K234" s="133"/>
      <c r="L234" s="133"/>
      <c r="M234" s="133"/>
      <c r="N234" s="133"/>
      <c r="O234" s="133"/>
    </row>
    <row r="235" spans="3:15">
      <c r="C235" s="133"/>
      <c r="D235" s="133"/>
      <c r="E235" s="133"/>
      <c r="F235" s="133"/>
      <c r="G235" s="133"/>
      <c r="H235" s="133"/>
      <c r="I235" s="133"/>
      <c r="J235" s="133"/>
      <c r="K235" s="133"/>
      <c r="L235" s="133"/>
      <c r="M235" s="133"/>
      <c r="N235" s="133"/>
      <c r="O235" s="133"/>
    </row>
    <row r="236" spans="3:15">
      <c r="C236" s="133"/>
      <c r="D236" s="133"/>
      <c r="E236" s="133"/>
      <c r="F236" s="133"/>
      <c r="G236" s="133"/>
      <c r="H236" s="133"/>
      <c r="I236" s="133"/>
      <c r="J236" s="133"/>
      <c r="K236" s="133"/>
      <c r="L236" s="133"/>
      <c r="M236" s="133"/>
      <c r="N236" s="133"/>
      <c r="O236" s="133"/>
    </row>
  </sheetData>
  <sheetProtection algorithmName="SHA-512" hashValue="2TDgLhrwnumdjgfDWP7zpiDWIlWXeR7jbNFRc2yESYVTZgaVHsGHswh2Qpntt59Rhmn+V8ZEeeAhhYlhSbo20A==" saltValue="JeN+tZiLsLUri7RhevSvbg==" spinCount="100000" sheet="1" objects="1" scenarios="1"/>
  <mergeCells count="208">
    <mergeCell ref="E2:O3"/>
    <mergeCell ref="E42:F42"/>
    <mergeCell ref="B66:D66"/>
    <mergeCell ref="E71:F71"/>
    <mergeCell ref="E64:F64"/>
    <mergeCell ref="E66:F66"/>
    <mergeCell ref="B70:E70"/>
    <mergeCell ref="O42:P42"/>
    <mergeCell ref="M42:N42"/>
    <mergeCell ref="K42:L42"/>
    <mergeCell ref="I42:J42"/>
    <mergeCell ref="G42:H42"/>
    <mergeCell ref="O45:P45"/>
    <mergeCell ref="O44:P44"/>
    <mergeCell ref="M45:N45"/>
    <mergeCell ref="M44:N44"/>
    <mergeCell ref="K45:L45"/>
    <mergeCell ref="K44:L44"/>
    <mergeCell ref="I45:J45"/>
    <mergeCell ref="I44:J44"/>
    <mergeCell ref="O66:P66"/>
    <mergeCell ref="O64:P64"/>
    <mergeCell ref="K71:L71"/>
    <mergeCell ref="M71:N71"/>
    <mergeCell ref="B81:D81"/>
    <mergeCell ref="B79:D79"/>
    <mergeCell ref="B80:D80"/>
    <mergeCell ref="B74:D74"/>
    <mergeCell ref="B75:D75"/>
    <mergeCell ref="B87:D87"/>
    <mergeCell ref="B85:H85"/>
    <mergeCell ref="E87:F87"/>
    <mergeCell ref="E82:F82"/>
    <mergeCell ref="B82:D82"/>
    <mergeCell ref="E81:F81"/>
    <mergeCell ref="G81:H81"/>
    <mergeCell ref="G82:H82"/>
    <mergeCell ref="B86:D86"/>
    <mergeCell ref="B73:D73"/>
    <mergeCell ref="G80:H80"/>
    <mergeCell ref="E73:F73"/>
    <mergeCell ref="E74:F74"/>
    <mergeCell ref="G79:H79"/>
    <mergeCell ref="G75:H75"/>
    <mergeCell ref="G74:H74"/>
    <mergeCell ref="G73:H73"/>
    <mergeCell ref="E75:F75"/>
    <mergeCell ref="B76:D77"/>
    <mergeCell ref="E76:F77"/>
    <mergeCell ref="G76:H77"/>
    <mergeCell ref="E79:F79"/>
    <mergeCell ref="E80:F80"/>
    <mergeCell ref="M7:N7"/>
    <mergeCell ref="K5:L5"/>
    <mergeCell ref="O24:P24"/>
    <mergeCell ref="B44:D44"/>
    <mergeCell ref="B45:D45"/>
    <mergeCell ref="G45:H45"/>
    <mergeCell ref="G44:H44"/>
    <mergeCell ref="E45:F45"/>
    <mergeCell ref="E44:F44"/>
    <mergeCell ref="O11:P11"/>
    <mergeCell ref="M10:N10"/>
    <mergeCell ref="M11:N11"/>
    <mergeCell ref="M5:N5"/>
    <mergeCell ref="O5:P5"/>
    <mergeCell ref="O9:P9"/>
    <mergeCell ref="O8:P8"/>
    <mergeCell ref="O7:P7"/>
    <mergeCell ref="M9:N9"/>
    <mergeCell ref="O10:P10"/>
    <mergeCell ref="K7:L7"/>
    <mergeCell ref="I10:J10"/>
    <mergeCell ref="M8:N8"/>
    <mergeCell ref="C11:D11"/>
    <mergeCell ref="G10:H10"/>
    <mergeCell ref="G71:H71"/>
    <mergeCell ref="I71:J71"/>
    <mergeCell ref="K64:L64"/>
    <mergeCell ref="M64:N64"/>
    <mergeCell ref="O71:P71"/>
    <mergeCell ref="G66:H66"/>
    <mergeCell ref="I66:J66"/>
    <mergeCell ref="G64:H64"/>
    <mergeCell ref="I64:J64"/>
    <mergeCell ref="K66:L66"/>
    <mergeCell ref="M66:N66"/>
    <mergeCell ref="K9:L9"/>
    <mergeCell ref="K8:L8"/>
    <mergeCell ref="E8:F8"/>
    <mergeCell ref="G8:H8"/>
    <mergeCell ref="I8:J8"/>
    <mergeCell ref="C9:D9"/>
    <mergeCell ref="E11:F11"/>
    <mergeCell ref="G11:H11"/>
    <mergeCell ref="I11:J11"/>
    <mergeCell ref="E10:F10"/>
    <mergeCell ref="K11:L11"/>
    <mergeCell ref="K10:L10"/>
    <mergeCell ref="C7:D7"/>
    <mergeCell ref="E7:F7"/>
    <mergeCell ref="G7:H7"/>
    <mergeCell ref="I7:J7"/>
    <mergeCell ref="C10:D10"/>
    <mergeCell ref="C8:D8"/>
    <mergeCell ref="E5:F5"/>
    <mergeCell ref="G5:H5"/>
    <mergeCell ref="I5:J5"/>
    <mergeCell ref="E9:F9"/>
    <mergeCell ref="G9:H9"/>
    <mergeCell ref="I9:J9"/>
    <mergeCell ref="O74:P74"/>
    <mergeCell ref="K81:L81"/>
    <mergeCell ref="K80:L80"/>
    <mergeCell ref="K79:L79"/>
    <mergeCell ref="K75:L75"/>
    <mergeCell ref="K74:L74"/>
    <mergeCell ref="I75:J75"/>
    <mergeCell ref="I74:J74"/>
    <mergeCell ref="I81:J81"/>
    <mergeCell ref="I80:J80"/>
    <mergeCell ref="I79:J79"/>
    <mergeCell ref="K88:L88"/>
    <mergeCell ref="O87:P87"/>
    <mergeCell ref="M87:N87"/>
    <mergeCell ref="K87:L87"/>
    <mergeCell ref="O91:P91"/>
    <mergeCell ref="M92:N92"/>
    <mergeCell ref="M91:N91"/>
    <mergeCell ref="K92:L92"/>
    <mergeCell ref="K91:L91"/>
    <mergeCell ref="O86:P86"/>
    <mergeCell ref="M86:N86"/>
    <mergeCell ref="K86:L86"/>
    <mergeCell ref="I86:J86"/>
    <mergeCell ref="G86:H86"/>
    <mergeCell ref="E86:F86"/>
    <mergeCell ref="K93:L94"/>
    <mergeCell ref="M93:N94"/>
    <mergeCell ref="O93:P94"/>
    <mergeCell ref="I92:J92"/>
    <mergeCell ref="I91:J91"/>
    <mergeCell ref="I89:J89"/>
    <mergeCell ref="O89:P89"/>
    <mergeCell ref="M89:N89"/>
    <mergeCell ref="K89:L89"/>
    <mergeCell ref="O92:P92"/>
    <mergeCell ref="I87:J87"/>
    <mergeCell ref="G92:H92"/>
    <mergeCell ref="G91:H91"/>
    <mergeCell ref="G89:H89"/>
    <mergeCell ref="G88:H88"/>
    <mergeCell ref="G87:H87"/>
    <mergeCell ref="O88:P88"/>
    <mergeCell ref="M88:N88"/>
    <mergeCell ref="B88:D88"/>
    <mergeCell ref="B89:D89"/>
    <mergeCell ref="B92:D92"/>
    <mergeCell ref="B91:D91"/>
    <mergeCell ref="B93:D94"/>
    <mergeCell ref="E93:F94"/>
    <mergeCell ref="G93:H94"/>
    <mergeCell ref="I93:J94"/>
    <mergeCell ref="E92:F92"/>
    <mergeCell ref="E91:F91"/>
    <mergeCell ref="E89:F89"/>
    <mergeCell ref="E88:F88"/>
    <mergeCell ref="I88:J88"/>
    <mergeCell ref="O26:P26"/>
    <mergeCell ref="O27:P27"/>
    <mergeCell ref="M27:N27"/>
    <mergeCell ref="O82:P82"/>
    <mergeCell ref="M82:N82"/>
    <mergeCell ref="K82:L82"/>
    <mergeCell ref="I82:J82"/>
    <mergeCell ref="I76:J77"/>
    <mergeCell ref="K76:L77"/>
    <mergeCell ref="M76:N77"/>
    <mergeCell ref="O76:P77"/>
    <mergeCell ref="O73:P73"/>
    <mergeCell ref="M73:N73"/>
    <mergeCell ref="K73:L73"/>
    <mergeCell ref="M75:N75"/>
    <mergeCell ref="M74:N74"/>
    <mergeCell ref="I73:J73"/>
    <mergeCell ref="O81:P81"/>
    <mergeCell ref="O80:P80"/>
    <mergeCell ref="O79:P79"/>
    <mergeCell ref="M81:N81"/>
    <mergeCell ref="M80:N80"/>
    <mergeCell ref="M79:N79"/>
    <mergeCell ref="O75:P75"/>
    <mergeCell ref="M24:N24"/>
    <mergeCell ref="K24:L24"/>
    <mergeCell ref="I24:J24"/>
    <mergeCell ref="G24:H24"/>
    <mergeCell ref="E24:F24"/>
    <mergeCell ref="K27:L27"/>
    <mergeCell ref="I27:J27"/>
    <mergeCell ref="G27:H27"/>
    <mergeCell ref="C26:D26"/>
    <mergeCell ref="I26:J26"/>
    <mergeCell ref="G26:H26"/>
    <mergeCell ref="E26:F26"/>
    <mergeCell ref="K26:L26"/>
    <mergeCell ref="C27:D27"/>
    <mergeCell ref="E27:F27"/>
    <mergeCell ref="M26:N26"/>
  </mergeCells>
  <conditionalFormatting sqref="E87:P94 E73:P82">
    <cfRule type="containsErrors" dxfId="3" priority="4">
      <formula>ISERROR(E73)</formula>
    </cfRule>
  </conditionalFormatting>
  <conditionalFormatting sqref="E44:P45">
    <cfRule type="containsErrors" dxfId="2" priority="5">
      <formula>ISERROR(E44)</formula>
    </cfRule>
  </conditionalFormatting>
  <conditionalFormatting sqref="E26:P27">
    <cfRule type="containsErrors" dxfId="1" priority="6">
      <formula>ISERROR(E26)</formula>
    </cfRule>
  </conditionalFormatting>
  <conditionalFormatting sqref="E7:P11">
    <cfRule type="containsErrors" dxfId="0" priority="7">
      <formula>ISERROR(E7)</formula>
    </cfRule>
  </conditionalFormatting>
  <pageMargins left="0.7" right="0.7" top="0.75" bottom="0.75" header="0.3" footer="0.3"/>
  <pageSetup paperSize="9" scale="50" fitToWidth="2" fitToHeight="0" orientation="portrait" r:id="rId1"/>
  <rowBreaks count="1" manualBreakCount="1">
    <brk id="61" max="16" man="1"/>
  </rowBreaks>
  <ignoredErrors>
    <ignoredError sqref="F79 F7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B17"/>
  <sheetViews>
    <sheetView workbookViewId="0">
      <selection activeCell="H15" sqref="H15"/>
    </sheetView>
  </sheetViews>
  <sheetFormatPr baseColWidth="10" defaultRowHeight="12.75"/>
  <cols>
    <col min="1" max="1" width="27.140625" style="75" customWidth="1"/>
    <col min="2" max="2" width="60.85546875" style="75" customWidth="1"/>
    <col min="3" max="16384" width="11.42578125" style="75"/>
  </cols>
  <sheetData>
    <row r="2" spans="1:2">
      <c r="A2" s="76" t="s">
        <v>399</v>
      </c>
      <c r="B2" s="77" t="s">
        <v>407</v>
      </c>
    </row>
    <row r="3" spans="1:2">
      <c r="A3" s="76" t="s">
        <v>400</v>
      </c>
      <c r="B3" s="78"/>
    </row>
    <row r="4" spans="1:2">
      <c r="A4" s="76" t="s">
        <v>207</v>
      </c>
      <c r="B4" s="78"/>
    </row>
    <row r="5" spans="1:2">
      <c r="A5" s="76" t="s">
        <v>401</v>
      </c>
      <c r="B5" s="78"/>
    </row>
    <row r="6" spans="1:2">
      <c r="A6" s="76" t="s">
        <v>402</v>
      </c>
      <c r="B6" s="78" t="s">
        <v>509</v>
      </c>
    </row>
    <row r="7" spans="1:2">
      <c r="A7" s="76" t="s">
        <v>403</v>
      </c>
      <c r="B7" s="78" t="s">
        <v>505</v>
      </c>
    </row>
    <row r="8" spans="1:2">
      <c r="A8" s="76" t="s">
        <v>404</v>
      </c>
      <c r="B8" s="78" t="s">
        <v>506</v>
      </c>
    </row>
    <row r="9" spans="1:2">
      <c r="A9" s="76" t="s">
        <v>0</v>
      </c>
      <c r="B9" s="78"/>
    </row>
    <row r="10" spans="1:2">
      <c r="A10" s="76" t="s">
        <v>270</v>
      </c>
      <c r="B10" s="77"/>
    </row>
    <row r="11" spans="1:2">
      <c r="A11" s="76" t="s">
        <v>405</v>
      </c>
      <c r="B11" s="78"/>
    </row>
    <row r="12" spans="1:2">
      <c r="A12" s="76" t="s">
        <v>411</v>
      </c>
      <c r="B12" s="78"/>
    </row>
    <row r="13" spans="1:2">
      <c r="A13" s="76" t="s">
        <v>406</v>
      </c>
      <c r="B13" s="78"/>
    </row>
    <row r="14" spans="1:2" ht="25.5">
      <c r="A14" s="76" t="s">
        <v>507</v>
      </c>
      <c r="B14" s="77" t="s">
        <v>510</v>
      </c>
    </row>
    <row r="15" spans="1:2">
      <c r="A15" s="80"/>
      <c r="B15" s="82"/>
    </row>
    <row r="16" spans="1:2">
      <c r="B16" s="79" t="s">
        <v>412</v>
      </c>
    </row>
    <row r="17" spans="2:2">
      <c r="B17" s="79" t="s">
        <v>508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FF0000"/>
    <pageSetUpPr autoPageBreaks="0" fitToPage="1"/>
  </sheetPr>
  <dimension ref="A1:O310"/>
  <sheetViews>
    <sheetView showGridLines="0" workbookViewId="0">
      <pane ySplit="6" topLeftCell="A7" activePane="bottomLeft" state="frozenSplit"/>
      <selection activeCell="C13" sqref="C13"/>
      <selection pane="bottomLeft" activeCell="A30" sqref="A30"/>
    </sheetView>
  </sheetViews>
  <sheetFormatPr baseColWidth="10" defaultRowHeight="15"/>
  <cols>
    <col min="1" max="1" width="8.140625" style="1090" customWidth="1"/>
    <col min="2" max="2" width="53.140625" style="1090" customWidth="1"/>
    <col min="3" max="3" width="10.42578125" style="1090" customWidth="1"/>
    <col min="4" max="4" width="11.85546875" style="1090" customWidth="1"/>
    <col min="5" max="6" width="9.7109375" style="1090" customWidth="1"/>
    <col min="7" max="7" width="12.28515625" style="1090" customWidth="1"/>
    <col min="8" max="8" width="17.42578125" style="1090" customWidth="1"/>
    <col min="9" max="9" width="9.7109375" style="1090" customWidth="1"/>
    <col min="10" max="11" width="8.7109375" style="1090" customWidth="1"/>
    <col min="12" max="12" width="11.42578125" style="1090"/>
    <col min="14" max="14" width="14.42578125" customWidth="1"/>
  </cols>
  <sheetData>
    <row r="1" spans="1:12" ht="15.75" thickBot="1">
      <c r="A1" s="1089"/>
      <c r="L1" s="1091"/>
    </row>
    <row r="2" spans="1:12" ht="16.5" thickBot="1">
      <c r="A2" s="2310" t="s">
        <v>898</v>
      </c>
      <c r="B2" s="2311"/>
      <c r="C2" s="2311"/>
      <c r="D2" s="2311"/>
      <c r="E2" s="2311"/>
      <c r="F2" s="2311"/>
      <c r="G2" s="2311"/>
      <c r="H2" s="2311"/>
      <c r="I2" s="2311"/>
      <c r="J2" s="2311"/>
      <c r="K2" s="2311"/>
      <c r="L2" s="2312"/>
    </row>
    <row r="3" spans="1:12" ht="15.75" thickBot="1">
      <c r="A3" s="1336"/>
      <c r="B3" s="1336"/>
      <c r="C3" s="1337"/>
      <c r="D3" s="1336"/>
      <c r="E3" s="1336"/>
      <c r="F3" s="1336"/>
      <c r="G3" s="1336"/>
      <c r="H3" s="1336"/>
      <c r="I3" s="1336"/>
      <c r="J3" s="1336"/>
      <c r="K3" s="1336"/>
      <c r="L3" s="1336"/>
    </row>
    <row r="4" spans="1:12" ht="20.100000000000001" customHeight="1">
      <c r="A4" s="2077" t="s">
        <v>899</v>
      </c>
      <c r="B4" s="2080" t="s">
        <v>900</v>
      </c>
      <c r="C4" s="2082" t="s">
        <v>901</v>
      </c>
      <c r="D4" s="2082" t="s">
        <v>902</v>
      </c>
      <c r="E4" s="2082" t="s">
        <v>903</v>
      </c>
      <c r="F4" s="2082" t="s">
        <v>904</v>
      </c>
      <c r="G4" s="2080" t="s">
        <v>905</v>
      </c>
      <c r="H4" s="2080"/>
      <c r="I4" s="2080"/>
      <c r="J4" s="2080"/>
      <c r="K4" s="2080"/>
      <c r="L4" s="2085"/>
    </row>
    <row r="5" spans="1:12" ht="24.95" customHeight="1">
      <c r="A5" s="2078"/>
      <c r="B5" s="2074"/>
      <c r="C5" s="2083"/>
      <c r="D5" s="2083"/>
      <c r="E5" s="2083"/>
      <c r="F5" s="2083"/>
      <c r="G5" s="2074" t="s">
        <v>906</v>
      </c>
      <c r="H5" s="2074" t="s">
        <v>907</v>
      </c>
      <c r="I5" s="2074" t="s">
        <v>908</v>
      </c>
      <c r="J5" s="2074"/>
      <c r="K5" s="2074"/>
      <c r="L5" s="2075" t="s">
        <v>909</v>
      </c>
    </row>
    <row r="6" spans="1:12" ht="24.95" customHeight="1" thickBot="1">
      <c r="A6" s="2079"/>
      <c r="B6" s="2081"/>
      <c r="C6" s="2084"/>
      <c r="D6" s="2084"/>
      <c r="E6" s="2084"/>
      <c r="F6" s="2084"/>
      <c r="G6" s="2081"/>
      <c r="H6" s="2081"/>
      <c r="I6" s="1338" t="s">
        <v>910</v>
      </c>
      <c r="J6" s="1338" t="s">
        <v>911</v>
      </c>
      <c r="K6" s="1338" t="s">
        <v>912</v>
      </c>
      <c r="L6" s="2076"/>
    </row>
    <row r="7" spans="1:12" ht="15" customHeight="1" thickBot="1">
      <c r="A7" s="1092"/>
      <c r="B7" s="1092"/>
      <c r="C7" s="1092"/>
      <c r="D7" s="1093"/>
      <c r="E7" s="1092"/>
      <c r="F7" s="1092"/>
      <c r="G7" s="1092"/>
      <c r="H7" s="1092"/>
      <c r="I7" s="1092"/>
      <c r="J7" s="1092"/>
      <c r="K7" s="1092"/>
      <c r="L7" s="1092"/>
    </row>
    <row r="8" spans="1:12" ht="15" customHeight="1">
      <c r="A8" s="1095"/>
      <c r="B8" s="1096"/>
      <c r="C8" s="1097"/>
      <c r="D8" s="1098"/>
      <c r="E8" s="1099"/>
      <c r="F8" s="1096"/>
      <c r="G8" s="1100"/>
      <c r="H8" s="1097"/>
      <c r="I8" s="1097"/>
      <c r="J8" s="1101"/>
      <c r="K8" s="1102"/>
      <c r="L8" s="1344">
        <f>G8+H8+I8</f>
        <v>0</v>
      </c>
    </row>
    <row r="9" spans="1:12" ht="15" customHeight="1">
      <c r="A9" s="1103"/>
      <c r="B9" s="1104"/>
      <c r="C9" s="1105"/>
      <c r="D9" s="1098"/>
      <c r="E9" s="1106"/>
      <c r="F9" s="1104"/>
      <c r="G9" s="1107"/>
      <c r="H9" s="1105"/>
      <c r="I9" s="1105"/>
      <c r="J9" s="1108"/>
      <c r="K9" s="1109"/>
      <c r="L9" s="1343">
        <f t="shared" ref="L9:L33" si="0">G9+H9+I9</f>
        <v>0</v>
      </c>
    </row>
    <row r="10" spans="1:12" ht="15" customHeight="1">
      <c r="A10" s="1103"/>
      <c r="B10" s="1110"/>
      <c r="C10" s="1105"/>
      <c r="D10" s="1098"/>
      <c r="E10" s="1106"/>
      <c r="F10" s="1104"/>
      <c r="G10" s="1107"/>
      <c r="H10" s="1105"/>
      <c r="I10" s="1105"/>
      <c r="J10" s="1108"/>
      <c r="K10" s="1111"/>
      <c r="L10" s="1343">
        <f>G10+H10+I10+J10</f>
        <v>0</v>
      </c>
    </row>
    <row r="11" spans="1:12" ht="15" customHeight="1">
      <c r="A11" s="1103"/>
      <c r="B11" s="1110"/>
      <c r="C11" s="1105"/>
      <c r="D11" s="1098"/>
      <c r="E11" s="1106"/>
      <c r="F11" s="1104"/>
      <c r="G11" s="1107"/>
      <c r="H11" s="1105"/>
      <c r="I11" s="1105"/>
      <c r="J11" s="1108"/>
      <c r="K11" s="1111"/>
      <c r="L11" s="1343">
        <f>G11+H11+I11+J11</f>
        <v>0</v>
      </c>
    </row>
    <row r="12" spans="1:12" ht="15" customHeight="1">
      <c r="A12" s="1103"/>
      <c r="B12" s="1110"/>
      <c r="C12" s="1105"/>
      <c r="D12" s="1098"/>
      <c r="E12" s="1106"/>
      <c r="F12" s="1104"/>
      <c r="G12" s="1107"/>
      <c r="H12" s="1105"/>
      <c r="I12" s="1105"/>
      <c r="J12" s="1108"/>
      <c r="K12" s="1111"/>
      <c r="L12" s="1343">
        <f>G12+H12+I12+J12</f>
        <v>0</v>
      </c>
    </row>
    <row r="13" spans="1:12" ht="15" customHeight="1">
      <c r="A13" s="1103"/>
      <c r="B13" s="1110"/>
      <c r="C13" s="1105"/>
      <c r="D13" s="1098"/>
      <c r="E13" s="1112"/>
      <c r="F13" s="1104"/>
      <c r="G13" s="1107"/>
      <c r="H13" s="1105"/>
      <c r="I13" s="1105"/>
      <c r="J13" s="1108"/>
      <c r="K13" s="1111"/>
      <c r="L13" s="1343">
        <f t="shared" si="0"/>
        <v>0</v>
      </c>
    </row>
    <row r="14" spans="1:12" ht="15" customHeight="1">
      <c r="A14" s="1103"/>
      <c r="B14" s="1110"/>
      <c r="C14" s="1105"/>
      <c r="D14" s="1098"/>
      <c r="E14" s="1106"/>
      <c r="F14" s="1104"/>
      <c r="G14" s="1107"/>
      <c r="H14" s="1105"/>
      <c r="I14" s="1105"/>
      <c r="J14" s="1108"/>
      <c r="K14" s="1111"/>
      <c r="L14" s="1343">
        <f t="shared" si="0"/>
        <v>0</v>
      </c>
    </row>
    <row r="15" spans="1:12" ht="15" customHeight="1">
      <c r="A15" s="1103"/>
      <c r="B15" s="1110"/>
      <c r="C15" s="1105"/>
      <c r="D15" s="1098"/>
      <c r="E15" s="1106"/>
      <c r="F15" s="1104"/>
      <c r="G15" s="1107"/>
      <c r="H15" s="1105"/>
      <c r="I15" s="1105"/>
      <c r="J15" s="1108"/>
      <c r="K15" s="1111"/>
      <c r="L15" s="1343">
        <f t="shared" si="0"/>
        <v>0</v>
      </c>
    </row>
    <row r="16" spans="1:12" ht="15" customHeight="1">
      <c r="A16" s="1103"/>
      <c r="B16" s="1110"/>
      <c r="C16" s="1105"/>
      <c r="D16" s="1098"/>
      <c r="E16" s="1106"/>
      <c r="F16" s="1104"/>
      <c r="G16" s="1107"/>
      <c r="H16" s="1105"/>
      <c r="I16" s="1105"/>
      <c r="J16" s="1108"/>
      <c r="K16" s="1111"/>
      <c r="L16" s="1343">
        <f>G16+H16+I16</f>
        <v>0</v>
      </c>
    </row>
    <row r="17" spans="1:15" ht="15" customHeight="1">
      <c r="A17" s="1103"/>
      <c r="B17" s="1110"/>
      <c r="C17" s="1105"/>
      <c r="D17" s="1098"/>
      <c r="E17" s="1106"/>
      <c r="F17" s="1104"/>
      <c r="G17" s="1107"/>
      <c r="H17" s="1105"/>
      <c r="I17" s="1105"/>
      <c r="J17" s="1108"/>
      <c r="K17" s="1111"/>
      <c r="L17" s="1343">
        <f t="shared" si="0"/>
        <v>0</v>
      </c>
    </row>
    <row r="18" spans="1:15" ht="15" customHeight="1">
      <c r="A18" s="1103"/>
      <c r="B18" s="1094"/>
      <c r="C18" s="1105"/>
      <c r="D18" s="1098"/>
      <c r="E18" s="1106"/>
      <c r="F18" s="1104"/>
      <c r="G18" s="1107"/>
      <c r="H18" s="1105"/>
      <c r="I18" s="1105"/>
      <c r="J18" s="1108"/>
      <c r="K18" s="1111"/>
      <c r="L18" s="1343">
        <f>G18+H18+I18</f>
        <v>0</v>
      </c>
      <c r="N18">
        <f>SUM(M8:M18)</f>
        <v>0</v>
      </c>
    </row>
    <row r="19" spans="1:15" ht="15" customHeight="1">
      <c r="A19" s="1103"/>
      <c r="B19" s="1110"/>
      <c r="C19" s="1105"/>
      <c r="D19" s="1098"/>
      <c r="E19" s="1106"/>
      <c r="F19" s="1104"/>
      <c r="G19" s="1107"/>
      <c r="H19" s="1105"/>
      <c r="I19" s="1105"/>
      <c r="J19" s="1108"/>
      <c r="K19" s="1111"/>
      <c r="L19" s="1343">
        <f>G19+H19+I19</f>
        <v>0</v>
      </c>
    </row>
    <row r="20" spans="1:15" ht="15" customHeight="1">
      <c r="A20" s="1103"/>
      <c r="B20" s="1110"/>
      <c r="C20" s="1105"/>
      <c r="D20" s="1098"/>
      <c r="E20" s="1106"/>
      <c r="F20" s="1104"/>
      <c r="G20" s="1107"/>
      <c r="H20" s="1105"/>
      <c r="I20" s="1105"/>
      <c r="J20" s="1108"/>
      <c r="K20" s="1111"/>
      <c r="L20" s="1343">
        <f>G20+H20+I20</f>
        <v>0</v>
      </c>
    </row>
    <row r="21" spans="1:15" ht="15" customHeight="1">
      <c r="A21" s="1103"/>
      <c r="B21" s="1110"/>
      <c r="C21" s="1105"/>
      <c r="D21" s="1098"/>
      <c r="E21" s="1106"/>
      <c r="F21" s="1104"/>
      <c r="G21" s="1107"/>
      <c r="H21" s="1105"/>
      <c r="I21" s="1105"/>
      <c r="J21" s="1108"/>
      <c r="K21" s="1111"/>
      <c r="L21" s="1343">
        <f>G21+H21+I21</f>
        <v>0</v>
      </c>
    </row>
    <row r="22" spans="1:15" ht="15" customHeight="1">
      <c r="A22" s="1103"/>
      <c r="B22" s="1110"/>
      <c r="C22" s="1105"/>
      <c r="D22" s="1098"/>
      <c r="E22" s="1106"/>
      <c r="F22" s="1104"/>
      <c r="G22" s="1107"/>
      <c r="H22" s="1105"/>
      <c r="I22" s="1105"/>
      <c r="J22" s="1108"/>
      <c r="K22" s="1111"/>
      <c r="L22" s="1343">
        <f>G22+H22+I22</f>
        <v>0</v>
      </c>
    </row>
    <row r="23" spans="1:15" ht="15" customHeight="1">
      <c r="A23" s="1103"/>
      <c r="B23" s="1113"/>
      <c r="C23" s="1105"/>
      <c r="D23" s="1098"/>
      <c r="E23" s="1106"/>
      <c r="F23" s="1104"/>
      <c r="G23" s="1107"/>
      <c r="H23" s="1105"/>
      <c r="I23" s="1105"/>
      <c r="J23" s="1108"/>
      <c r="K23" s="1111"/>
      <c r="L23" s="1343">
        <f t="shared" si="0"/>
        <v>0</v>
      </c>
    </row>
    <row r="24" spans="1:15" ht="15" customHeight="1">
      <c r="A24" s="1103"/>
      <c r="B24" s="1113"/>
      <c r="C24" s="1105"/>
      <c r="D24" s="1098"/>
      <c r="E24" s="1114"/>
      <c r="F24" s="1104"/>
      <c r="G24" s="1107"/>
      <c r="H24" s="1105"/>
      <c r="I24" s="1105"/>
      <c r="J24" s="1108"/>
      <c r="K24" s="1111"/>
      <c r="L24" s="1343">
        <f t="shared" si="0"/>
        <v>0</v>
      </c>
    </row>
    <row r="25" spans="1:15" ht="15" customHeight="1">
      <c r="A25" s="1103"/>
      <c r="B25" s="1115"/>
      <c r="C25" s="1105"/>
      <c r="D25" s="1098"/>
      <c r="E25" s="1106"/>
      <c r="F25" s="1104"/>
      <c r="G25" s="1107"/>
      <c r="H25" s="1105"/>
      <c r="I25" s="1105"/>
      <c r="J25" s="1108"/>
      <c r="K25" s="1111"/>
      <c r="L25" s="1343">
        <f t="shared" si="0"/>
        <v>0</v>
      </c>
      <c r="N25">
        <f>SUM(M19:M25)</f>
        <v>0</v>
      </c>
    </row>
    <row r="26" spans="1:15" ht="15" customHeight="1">
      <c r="A26" s="1103"/>
      <c r="B26" s="1116"/>
      <c r="C26" s="1105"/>
      <c r="D26" s="1098"/>
      <c r="E26" s="1106"/>
      <c r="F26" s="1104"/>
      <c r="G26" s="1107"/>
      <c r="H26" s="1105"/>
      <c r="I26" s="1105"/>
      <c r="J26" s="1108"/>
      <c r="K26" s="1111"/>
      <c r="L26" s="1343">
        <f t="shared" si="0"/>
        <v>0</v>
      </c>
    </row>
    <row r="27" spans="1:15" ht="15" customHeight="1">
      <c r="A27" s="1103"/>
      <c r="B27" s="1094"/>
      <c r="C27" s="1105"/>
      <c r="D27" s="1098"/>
      <c r="E27" s="1106"/>
      <c r="F27" s="1104"/>
      <c r="G27" s="1107"/>
      <c r="H27" s="1105"/>
      <c r="I27" s="1105"/>
      <c r="J27" s="1108"/>
      <c r="K27" s="1111"/>
      <c r="L27" s="1343">
        <f t="shared" si="0"/>
        <v>0</v>
      </c>
      <c r="N27">
        <f>SUM(M26:M27)</f>
        <v>0</v>
      </c>
    </row>
    <row r="28" spans="1:15" ht="15" customHeight="1">
      <c r="A28" s="1103"/>
      <c r="B28" s="1104"/>
      <c r="C28" s="1105"/>
      <c r="D28" s="1098"/>
      <c r="E28" s="1106"/>
      <c r="F28" s="1104"/>
      <c r="G28" s="1107"/>
      <c r="H28" s="1105"/>
      <c r="I28" s="1105"/>
      <c r="J28" s="1108"/>
      <c r="K28" s="1111"/>
      <c r="L28" s="1343">
        <f t="shared" si="0"/>
        <v>0</v>
      </c>
    </row>
    <row r="29" spans="1:15" ht="15" customHeight="1">
      <c r="A29" s="1103"/>
      <c r="B29" s="1104"/>
      <c r="C29" s="1105"/>
      <c r="D29" s="1098"/>
      <c r="E29" s="1106"/>
      <c r="F29" s="1104"/>
      <c r="G29" s="1107"/>
      <c r="H29" s="1105"/>
      <c r="I29" s="1105"/>
      <c r="J29" s="1108"/>
      <c r="K29" s="1111"/>
      <c r="L29" s="1343">
        <f t="shared" si="0"/>
        <v>0</v>
      </c>
      <c r="N29" s="505">
        <f>SUM(M28:M29)</f>
        <v>0</v>
      </c>
      <c r="O29" s="505"/>
    </row>
    <row r="30" spans="1:15" ht="15" customHeight="1">
      <c r="A30" s="1103"/>
      <c r="B30" s="1117"/>
      <c r="C30" s="1105"/>
      <c r="D30" s="1098"/>
      <c r="E30" s="1106"/>
      <c r="F30" s="1104"/>
      <c r="G30" s="1107"/>
      <c r="H30" s="1105"/>
      <c r="I30" s="1105"/>
      <c r="J30" s="1108"/>
      <c r="K30" s="1111"/>
      <c r="L30" s="1343">
        <f t="shared" si="0"/>
        <v>0</v>
      </c>
      <c r="N30" s="505"/>
      <c r="O30" s="505"/>
    </row>
    <row r="31" spans="1:15" ht="15" customHeight="1">
      <c r="A31" s="1103"/>
      <c r="B31" s="1117"/>
      <c r="C31" s="1105"/>
      <c r="D31" s="1098"/>
      <c r="E31" s="1106"/>
      <c r="F31" s="1104"/>
      <c r="G31" s="1107"/>
      <c r="H31" s="1105"/>
      <c r="I31" s="1105"/>
      <c r="J31" s="1108"/>
      <c r="K31" s="1111"/>
      <c r="L31" s="1343">
        <f t="shared" si="0"/>
        <v>0</v>
      </c>
      <c r="N31" s="505"/>
      <c r="O31" s="505"/>
    </row>
    <row r="32" spans="1:15" ht="15" customHeight="1">
      <c r="A32" s="1103"/>
      <c r="B32" s="1117"/>
      <c r="C32" s="1105"/>
      <c r="D32" s="1098"/>
      <c r="E32" s="1106"/>
      <c r="F32" s="1104"/>
      <c r="G32" s="1107"/>
      <c r="H32" s="1105"/>
      <c r="I32" s="1105"/>
      <c r="J32" s="1108"/>
      <c r="K32" s="1111"/>
      <c r="L32" s="1343">
        <f t="shared" si="0"/>
        <v>0</v>
      </c>
      <c r="N32" s="505"/>
      <c r="O32" s="505"/>
    </row>
    <row r="33" spans="1:15" ht="15" customHeight="1" thickBot="1">
      <c r="A33" s="1103"/>
      <c r="B33" s="1104"/>
      <c r="C33" s="1105"/>
      <c r="D33" s="1098"/>
      <c r="E33" s="1106"/>
      <c r="F33" s="1118"/>
      <c r="G33" s="1107"/>
      <c r="H33" s="1105"/>
      <c r="I33" s="1105"/>
      <c r="J33" s="1108"/>
      <c r="K33" s="1111"/>
      <c r="L33" s="1343">
        <f t="shared" si="0"/>
        <v>0</v>
      </c>
      <c r="N33" s="505">
        <f>SUM(M30:M33)</f>
        <v>0</v>
      </c>
      <c r="O33" s="505"/>
    </row>
    <row r="34" spans="1:15" ht="24.75" customHeight="1" thickBot="1">
      <c r="A34" s="2072" t="s">
        <v>913</v>
      </c>
      <c r="B34" s="2073"/>
      <c r="C34" s="1335">
        <f>SUM(C8:C33)</f>
        <v>0</v>
      </c>
      <c r="D34" s="2313"/>
      <c r="E34" s="2313"/>
      <c r="F34" s="2314"/>
      <c r="G34" s="1335">
        <f>SUM(G8:G33)</f>
        <v>0</v>
      </c>
      <c r="H34" s="1335">
        <f>SUM(H8:H33)</f>
        <v>0</v>
      </c>
      <c r="I34" s="1335">
        <f>SUM(I8:I33)</f>
        <v>0</v>
      </c>
      <c r="J34" s="2313"/>
      <c r="K34" s="2315"/>
      <c r="L34" s="1335">
        <f>SUM(L8:L33)</f>
        <v>0</v>
      </c>
    </row>
    <row r="35" spans="1:15" ht="26.25" customHeight="1">
      <c r="A35" s="1339"/>
      <c r="B35" s="1339" t="s">
        <v>914</v>
      </c>
      <c r="C35" s="1340"/>
      <c r="D35" s="1340"/>
      <c r="E35" s="1340"/>
      <c r="F35" s="1340"/>
      <c r="G35" s="1340"/>
      <c r="H35" s="1340"/>
      <c r="I35" s="1340"/>
      <c r="J35" s="1340"/>
      <c r="K35" s="1340"/>
      <c r="L35" s="1340"/>
    </row>
    <row r="36" spans="1:15" ht="5.25" customHeight="1" thickBot="1">
      <c r="A36" s="1339"/>
      <c r="B36" s="1336"/>
      <c r="C36" s="1340"/>
      <c r="D36" s="1340"/>
      <c r="E36" s="1340"/>
      <c r="F36" s="1340"/>
      <c r="G36" s="1340"/>
      <c r="H36" s="1340"/>
      <c r="I36" s="1340"/>
      <c r="J36" s="1340"/>
      <c r="K36" s="1340"/>
      <c r="L36" s="1340"/>
    </row>
    <row r="37" spans="1:15" ht="15" customHeight="1">
      <c r="A37" s="1119"/>
      <c r="B37" s="1120"/>
      <c r="C37" s="1121"/>
      <c r="D37" s="1122"/>
      <c r="E37" s="1122"/>
      <c r="F37" s="1120"/>
      <c r="G37" s="1121"/>
      <c r="H37" s="1121"/>
      <c r="I37" s="1121"/>
      <c r="J37" s="1123"/>
      <c r="K37" s="1120"/>
      <c r="L37" s="1344">
        <f>G37+H37+I37</f>
        <v>0</v>
      </c>
    </row>
    <row r="38" spans="1:15" ht="15" customHeight="1">
      <c r="A38" s="1119"/>
      <c r="B38" s="1113"/>
      <c r="C38" s="1124"/>
      <c r="D38" s="1125"/>
      <c r="E38" s="1126"/>
      <c r="F38" s="1113"/>
      <c r="G38" s="1124"/>
      <c r="H38" s="1124"/>
      <c r="I38" s="1124"/>
      <c r="J38" s="1127"/>
      <c r="K38" s="1113"/>
      <c r="L38" s="1343"/>
    </row>
    <row r="39" spans="1:15" ht="15" customHeight="1">
      <c r="A39" s="1119"/>
      <c r="B39" s="1113"/>
      <c r="C39" s="1124"/>
      <c r="D39" s="1125"/>
      <c r="E39" s="1126"/>
      <c r="F39" s="1113"/>
      <c r="G39" s="1124"/>
      <c r="H39" s="1124"/>
      <c r="I39" s="1124"/>
      <c r="J39" s="1127"/>
      <c r="K39" s="1113"/>
      <c r="L39" s="1343"/>
    </row>
    <row r="40" spans="1:15" ht="15" customHeight="1">
      <c r="A40" s="1119"/>
      <c r="B40" s="1113"/>
      <c r="C40" s="1124"/>
      <c r="D40" s="1125"/>
      <c r="E40" s="1126"/>
      <c r="F40" s="1113"/>
      <c r="G40" s="1124"/>
      <c r="H40" s="1124"/>
      <c r="I40" s="1124"/>
      <c r="J40" s="1127"/>
      <c r="K40" s="1113"/>
      <c r="L40" s="1343"/>
    </row>
    <row r="41" spans="1:15" ht="15" customHeight="1">
      <c r="A41" s="1119"/>
      <c r="B41" s="1113"/>
      <c r="C41" s="1124"/>
      <c r="D41" s="1125"/>
      <c r="E41" s="1126"/>
      <c r="F41" s="1113"/>
      <c r="G41" s="1124"/>
      <c r="H41" s="1124"/>
      <c r="I41" s="1124"/>
      <c r="J41" s="1127"/>
      <c r="K41" s="1113"/>
      <c r="L41" s="1343"/>
    </row>
    <row r="42" spans="1:15" ht="15" customHeight="1">
      <c r="A42" s="1119"/>
      <c r="B42" s="1113"/>
      <c r="C42" s="1124"/>
      <c r="D42" s="1125"/>
      <c r="E42" s="1126"/>
      <c r="F42" s="1113"/>
      <c r="G42" s="1124"/>
      <c r="H42" s="1124"/>
      <c r="I42" s="1124"/>
      <c r="J42" s="1127"/>
      <c r="K42" s="1113"/>
      <c r="L42" s="1343"/>
    </row>
    <row r="43" spans="1:15" ht="15" customHeight="1">
      <c r="A43" s="1119"/>
      <c r="B43" s="1113"/>
      <c r="C43" s="1124"/>
      <c r="D43" s="1125"/>
      <c r="E43" s="1126"/>
      <c r="F43" s="1113"/>
      <c r="G43" s="1124"/>
      <c r="H43" s="1124"/>
      <c r="I43" s="1124"/>
      <c r="J43" s="1127"/>
      <c r="K43" s="1113"/>
      <c r="L43" s="1343"/>
    </row>
    <row r="44" spans="1:15" ht="15" customHeight="1">
      <c r="A44" s="1119"/>
      <c r="B44" s="1113"/>
      <c r="C44" s="1124"/>
      <c r="D44" s="1125"/>
      <c r="E44" s="1126"/>
      <c r="F44" s="1113"/>
      <c r="G44" s="1124"/>
      <c r="H44" s="1124"/>
      <c r="I44" s="1124"/>
      <c r="J44" s="1127"/>
      <c r="K44" s="1113"/>
      <c r="L44" s="1343"/>
    </row>
    <row r="45" spans="1:15" ht="15" customHeight="1">
      <c r="A45" s="1119"/>
      <c r="B45" s="1113"/>
      <c r="C45" s="1124"/>
      <c r="D45" s="1125"/>
      <c r="E45" s="1126"/>
      <c r="F45" s="1113"/>
      <c r="G45" s="1124"/>
      <c r="H45" s="1124"/>
      <c r="I45" s="1124"/>
      <c r="J45" s="1127"/>
      <c r="K45" s="1113"/>
      <c r="L45" s="1343"/>
    </row>
    <row r="46" spans="1:15" ht="15" customHeight="1">
      <c r="A46" s="1119"/>
      <c r="B46" s="1113"/>
      <c r="C46" s="1124"/>
      <c r="D46" s="1126"/>
      <c r="E46" s="1126"/>
      <c r="F46" s="1113"/>
      <c r="G46" s="1124"/>
      <c r="H46" s="1124"/>
      <c r="I46" s="1124"/>
      <c r="J46" s="1127"/>
      <c r="K46" s="1113"/>
      <c r="L46" s="1343"/>
    </row>
    <row r="47" spans="1:15" ht="15" customHeight="1">
      <c r="A47" s="1119"/>
      <c r="B47" s="1113"/>
      <c r="C47" s="1124"/>
      <c r="D47" s="1126"/>
      <c r="E47" s="1126"/>
      <c r="F47" s="1113"/>
      <c r="G47" s="1124"/>
      <c r="H47" s="1124"/>
      <c r="I47" s="1124"/>
      <c r="J47" s="1127"/>
      <c r="K47" s="1113"/>
      <c r="L47" s="1343"/>
    </row>
    <row r="48" spans="1:15" ht="15" customHeight="1">
      <c r="A48" s="1119"/>
      <c r="B48" s="1113"/>
      <c r="C48" s="1124"/>
      <c r="D48" s="1126"/>
      <c r="E48" s="1126"/>
      <c r="F48" s="1113"/>
      <c r="G48" s="1124"/>
      <c r="H48" s="1124"/>
      <c r="I48" s="1124"/>
      <c r="J48" s="1127"/>
      <c r="K48" s="1113"/>
      <c r="L48" s="1343"/>
    </row>
    <row r="49" spans="1:12" ht="15" customHeight="1">
      <c r="A49" s="1119"/>
      <c r="B49" s="1113"/>
      <c r="C49" s="1124"/>
      <c r="D49" s="1126"/>
      <c r="E49" s="1126"/>
      <c r="F49" s="1113"/>
      <c r="G49" s="1124"/>
      <c r="H49" s="1124"/>
      <c r="I49" s="1124"/>
      <c r="J49" s="1127"/>
      <c r="K49" s="1113"/>
      <c r="L49" s="1343"/>
    </row>
    <row r="50" spans="1:12" ht="15" customHeight="1">
      <c r="A50" s="1119"/>
      <c r="B50" s="1113"/>
      <c r="C50" s="1124"/>
      <c r="D50" s="1126"/>
      <c r="E50" s="1126"/>
      <c r="F50" s="1113"/>
      <c r="G50" s="1124"/>
      <c r="H50" s="1124"/>
      <c r="I50" s="1124"/>
      <c r="J50" s="1127"/>
      <c r="K50" s="1113"/>
      <c r="L50" s="1343"/>
    </row>
    <row r="51" spans="1:12" ht="15" customHeight="1" thickBot="1">
      <c r="A51" s="1119"/>
      <c r="B51" s="1128"/>
      <c r="C51" s="1129"/>
      <c r="D51" s="1130"/>
      <c r="E51" s="1130"/>
      <c r="F51" s="1128"/>
      <c r="G51" s="1129"/>
      <c r="H51" s="1129"/>
      <c r="I51" s="1129"/>
      <c r="J51" s="1131"/>
      <c r="K51" s="1128"/>
      <c r="L51" s="1343"/>
    </row>
    <row r="52" spans="1:12" ht="21" customHeight="1" thickBot="1">
      <c r="A52" s="1132"/>
      <c r="B52" s="1341" t="s">
        <v>913</v>
      </c>
      <c r="C52" s="1342">
        <f>SUM(C37:C51)</f>
        <v>0</v>
      </c>
      <c r="D52" s="2313"/>
      <c r="E52" s="2313"/>
      <c r="F52" s="2313"/>
      <c r="G52" s="1342">
        <f>SUM(G37:G51)</f>
        <v>0</v>
      </c>
      <c r="H52" s="1342">
        <f>SUM(H37:H51)</f>
        <v>0</v>
      </c>
      <c r="I52" s="1342">
        <f>SUM(I37:I51)</f>
        <v>0</v>
      </c>
      <c r="J52" s="2313"/>
      <c r="K52" s="2313"/>
      <c r="L52" s="1342">
        <f>SUM(L37:L51)</f>
        <v>0</v>
      </c>
    </row>
    <row r="53" spans="1:12" ht="17.100000000000001" customHeight="1" thickBot="1">
      <c r="A53" s="1089"/>
      <c r="L53" s="1091"/>
    </row>
    <row r="54" spans="1:12" ht="16.5" thickBot="1">
      <c r="A54" s="2310" t="s">
        <v>898</v>
      </c>
      <c r="B54" s="2311"/>
      <c r="C54" s="2311"/>
      <c r="D54" s="2311"/>
      <c r="E54" s="2311"/>
      <c r="F54" s="2311"/>
      <c r="G54" s="2311"/>
      <c r="H54" s="2311"/>
      <c r="I54" s="2311"/>
      <c r="J54" s="2311"/>
      <c r="K54" s="2311"/>
      <c r="L54" s="2312"/>
    </row>
    <row r="55" spans="1:12" ht="15.75" thickBot="1">
      <c r="A55" s="1336"/>
      <c r="B55" s="1336"/>
      <c r="C55" s="1336"/>
      <c r="D55" s="1336"/>
      <c r="E55" s="1336"/>
      <c r="F55" s="1336"/>
      <c r="G55" s="1336"/>
      <c r="H55" s="1336"/>
      <c r="I55" s="1336"/>
      <c r="J55" s="1336"/>
      <c r="K55" s="1336"/>
      <c r="L55" s="1336"/>
    </row>
    <row r="56" spans="1:12" ht="20.100000000000001" customHeight="1">
      <c r="A56" s="2077" t="s">
        <v>899</v>
      </c>
      <c r="B56" s="2080" t="s">
        <v>900</v>
      </c>
      <c r="C56" s="2082" t="s">
        <v>901</v>
      </c>
      <c r="D56" s="2082" t="s">
        <v>902</v>
      </c>
      <c r="E56" s="2082" t="s">
        <v>903</v>
      </c>
      <c r="F56" s="2082" t="s">
        <v>904</v>
      </c>
      <c r="G56" s="2080" t="s">
        <v>905</v>
      </c>
      <c r="H56" s="2080"/>
      <c r="I56" s="2080"/>
      <c r="J56" s="2080"/>
      <c r="K56" s="2080"/>
      <c r="L56" s="2085"/>
    </row>
    <row r="57" spans="1:12" ht="20.100000000000001" customHeight="1">
      <c r="A57" s="2078"/>
      <c r="B57" s="2074"/>
      <c r="C57" s="2083"/>
      <c r="D57" s="2083"/>
      <c r="E57" s="2083"/>
      <c r="F57" s="2083"/>
      <c r="G57" s="2074" t="s">
        <v>906</v>
      </c>
      <c r="H57" s="2074" t="s">
        <v>907</v>
      </c>
      <c r="I57" s="2074" t="s">
        <v>908</v>
      </c>
      <c r="J57" s="2074"/>
      <c r="K57" s="2074"/>
      <c r="L57" s="2075" t="s">
        <v>909</v>
      </c>
    </row>
    <row r="58" spans="1:12" ht="20.100000000000001" customHeight="1" thickBot="1">
      <c r="A58" s="2079"/>
      <c r="B58" s="2081"/>
      <c r="C58" s="2084"/>
      <c r="D58" s="2084"/>
      <c r="E58" s="2084"/>
      <c r="F58" s="2084"/>
      <c r="G58" s="2081"/>
      <c r="H58" s="2081"/>
      <c r="I58" s="1338" t="s">
        <v>910</v>
      </c>
      <c r="J58" s="1338" t="s">
        <v>911</v>
      </c>
      <c r="K58" s="1338" t="s">
        <v>912</v>
      </c>
      <c r="L58" s="2076"/>
    </row>
    <row r="59" spans="1:12" ht="15.75" thickBot="1">
      <c r="A59" s="1092"/>
      <c r="B59" s="1092"/>
      <c r="C59" s="1092"/>
      <c r="D59" s="1092"/>
      <c r="E59" s="1092"/>
      <c r="F59" s="1092"/>
      <c r="G59" s="1092"/>
      <c r="H59" s="1092"/>
      <c r="I59" s="1092"/>
      <c r="J59" s="1092"/>
      <c r="K59" s="1092"/>
      <c r="L59" s="1092"/>
    </row>
    <row r="60" spans="1:12" ht="15" customHeight="1">
      <c r="A60" s="1095"/>
      <c r="B60" s="1096"/>
      <c r="C60" s="1097"/>
      <c r="D60" s="1133"/>
      <c r="E60" s="1134"/>
      <c r="F60" s="1096"/>
      <c r="G60" s="1097"/>
      <c r="H60" s="1097"/>
      <c r="I60" s="1097"/>
      <c r="J60" s="1101"/>
      <c r="K60" s="1096"/>
      <c r="L60" s="1344">
        <f t="shared" ref="L60:L74" si="1">G60+H60+I60</f>
        <v>0</v>
      </c>
    </row>
    <row r="61" spans="1:12" ht="15" customHeight="1">
      <c r="A61" s="1103"/>
      <c r="B61" s="1104"/>
      <c r="C61" s="1105"/>
      <c r="D61" s="1098"/>
      <c r="E61" s="1135"/>
      <c r="F61" s="1104"/>
      <c r="G61" s="1105"/>
      <c r="H61" s="1105"/>
      <c r="I61" s="1105"/>
      <c r="J61" s="1108"/>
      <c r="K61" s="1103"/>
      <c r="L61" s="1343">
        <f t="shared" si="1"/>
        <v>0</v>
      </c>
    </row>
    <row r="62" spans="1:12" ht="15" customHeight="1">
      <c r="A62" s="1103"/>
      <c r="B62" s="1104"/>
      <c r="C62" s="1105"/>
      <c r="D62" s="1098"/>
      <c r="E62" s="1135"/>
      <c r="F62" s="1104"/>
      <c r="G62" s="1105"/>
      <c r="H62" s="1105"/>
      <c r="I62" s="1105"/>
      <c r="J62" s="1108"/>
      <c r="K62" s="1103"/>
      <c r="L62" s="1343">
        <f t="shared" si="1"/>
        <v>0</v>
      </c>
    </row>
    <row r="63" spans="1:12" ht="15" customHeight="1">
      <c r="A63" s="1103"/>
      <c r="B63" s="1104"/>
      <c r="C63" s="1105"/>
      <c r="D63" s="1098"/>
      <c r="E63" s="1135"/>
      <c r="F63" s="1104"/>
      <c r="G63" s="1105"/>
      <c r="H63" s="1105"/>
      <c r="I63" s="1105"/>
      <c r="J63" s="1108"/>
      <c r="K63" s="1103"/>
      <c r="L63" s="1343">
        <f t="shared" si="1"/>
        <v>0</v>
      </c>
    </row>
    <row r="64" spans="1:12" ht="15" customHeight="1">
      <c r="A64" s="1103"/>
      <c r="B64" s="1104"/>
      <c r="C64" s="1105"/>
      <c r="D64" s="1098"/>
      <c r="E64" s="1135"/>
      <c r="F64" s="1104"/>
      <c r="G64" s="1105"/>
      <c r="H64" s="1105"/>
      <c r="I64" s="1105"/>
      <c r="J64" s="1108"/>
      <c r="K64" s="1103"/>
      <c r="L64" s="1343">
        <f t="shared" si="1"/>
        <v>0</v>
      </c>
    </row>
    <row r="65" spans="1:12" ht="15" customHeight="1">
      <c r="A65" s="1103"/>
      <c r="B65" s="1104"/>
      <c r="C65" s="1105"/>
      <c r="D65" s="1098"/>
      <c r="E65" s="1135"/>
      <c r="F65" s="1104"/>
      <c r="G65" s="1105"/>
      <c r="H65" s="1105"/>
      <c r="I65" s="1105"/>
      <c r="J65" s="1108"/>
      <c r="K65" s="1103"/>
      <c r="L65" s="1343">
        <f t="shared" si="1"/>
        <v>0</v>
      </c>
    </row>
    <row r="66" spans="1:12" ht="15" customHeight="1">
      <c r="A66" s="1103"/>
      <c r="B66" s="1104"/>
      <c r="C66" s="1105"/>
      <c r="D66" s="1098"/>
      <c r="E66" s="1135"/>
      <c r="F66" s="1104"/>
      <c r="G66" s="1105"/>
      <c r="H66" s="1105"/>
      <c r="I66" s="1105"/>
      <c r="J66" s="1108"/>
      <c r="K66" s="1103"/>
      <c r="L66" s="1343">
        <f t="shared" si="1"/>
        <v>0</v>
      </c>
    </row>
    <row r="67" spans="1:12" ht="15" customHeight="1">
      <c r="A67" s="1103"/>
      <c r="B67" s="1104"/>
      <c r="C67" s="1105"/>
      <c r="D67" s="1098"/>
      <c r="E67" s="1135"/>
      <c r="F67" s="1104"/>
      <c r="G67" s="1105"/>
      <c r="H67" s="1105"/>
      <c r="I67" s="1105"/>
      <c r="J67" s="1108"/>
      <c r="K67" s="1103"/>
      <c r="L67" s="1343">
        <f t="shared" si="1"/>
        <v>0</v>
      </c>
    </row>
    <row r="68" spans="1:12" ht="15" customHeight="1">
      <c r="A68" s="1103"/>
      <c r="B68" s="1136"/>
      <c r="C68" s="1105"/>
      <c r="D68" s="1098"/>
      <c r="E68" s="1135"/>
      <c r="F68" s="1104"/>
      <c r="G68" s="1105"/>
      <c r="H68" s="1105"/>
      <c r="I68" s="1105"/>
      <c r="J68" s="1108"/>
      <c r="K68" s="1103"/>
      <c r="L68" s="1343">
        <f t="shared" si="1"/>
        <v>0</v>
      </c>
    </row>
    <row r="69" spans="1:12" ht="15" customHeight="1">
      <c r="A69" s="1103"/>
      <c r="B69" s="1136"/>
      <c r="C69" s="1105"/>
      <c r="D69" s="1098"/>
      <c r="E69" s="1135"/>
      <c r="F69" s="1104"/>
      <c r="G69" s="1105"/>
      <c r="H69" s="1105"/>
      <c r="I69" s="1105"/>
      <c r="J69" s="1108"/>
      <c r="K69" s="1103"/>
      <c r="L69" s="1343">
        <f t="shared" si="1"/>
        <v>0</v>
      </c>
    </row>
    <row r="70" spans="1:12" ht="15" customHeight="1">
      <c r="A70" s="1103"/>
      <c r="B70" s="1136"/>
      <c r="C70" s="1105"/>
      <c r="D70" s="1098"/>
      <c r="E70" s="1135"/>
      <c r="F70" s="1104"/>
      <c r="G70" s="1105"/>
      <c r="H70" s="1105"/>
      <c r="I70" s="1105"/>
      <c r="J70" s="1108"/>
      <c r="K70" s="1103"/>
      <c r="L70" s="1343">
        <f t="shared" si="1"/>
        <v>0</v>
      </c>
    </row>
    <row r="71" spans="1:12" ht="15" customHeight="1">
      <c r="A71" s="1103"/>
      <c r="B71" s="1136"/>
      <c r="C71" s="1105"/>
      <c r="D71" s="1098"/>
      <c r="E71" s="1135"/>
      <c r="F71" s="1104"/>
      <c r="G71" s="1105"/>
      <c r="H71" s="1105"/>
      <c r="I71" s="1105"/>
      <c r="J71" s="1108"/>
      <c r="K71" s="1103"/>
      <c r="L71" s="1343">
        <f t="shared" si="1"/>
        <v>0</v>
      </c>
    </row>
    <row r="72" spans="1:12" ht="15" customHeight="1">
      <c r="A72" s="1103"/>
      <c r="B72" s="1104"/>
      <c r="C72" s="1105"/>
      <c r="D72" s="1098"/>
      <c r="E72" s="1135"/>
      <c r="F72" s="1104"/>
      <c r="G72" s="1105"/>
      <c r="H72" s="1105"/>
      <c r="I72" s="1105"/>
      <c r="J72" s="1108"/>
      <c r="K72" s="1103"/>
      <c r="L72" s="1343">
        <f t="shared" si="1"/>
        <v>0</v>
      </c>
    </row>
    <row r="73" spans="1:12" ht="15" customHeight="1">
      <c r="A73" s="1103"/>
      <c r="B73" s="1104"/>
      <c r="C73" s="1105"/>
      <c r="D73" s="1098"/>
      <c r="E73" s="1135"/>
      <c r="F73" s="1104"/>
      <c r="G73" s="1105"/>
      <c r="H73" s="1105"/>
      <c r="I73" s="1105"/>
      <c r="J73" s="1108"/>
      <c r="K73" s="1103"/>
      <c r="L73" s="1343">
        <f t="shared" si="1"/>
        <v>0</v>
      </c>
    </row>
    <row r="74" spans="1:12" ht="15" customHeight="1" thickBot="1">
      <c r="A74" s="1103"/>
      <c r="B74" s="1104"/>
      <c r="C74" s="1105"/>
      <c r="D74" s="1098"/>
      <c r="E74" s="1135"/>
      <c r="F74" s="1104"/>
      <c r="G74" s="1105"/>
      <c r="H74" s="1105"/>
      <c r="I74" s="1105"/>
      <c r="J74" s="1108"/>
      <c r="K74" s="1103"/>
      <c r="L74" s="1343">
        <f t="shared" si="1"/>
        <v>0</v>
      </c>
    </row>
    <row r="75" spans="1:12" ht="24" customHeight="1" thickBot="1">
      <c r="A75" s="2072" t="s">
        <v>913</v>
      </c>
      <c r="B75" s="2073"/>
      <c r="C75" s="1335">
        <f>SUM(C60:C74)+C34</f>
        <v>0</v>
      </c>
      <c r="D75" s="2313"/>
      <c r="E75" s="2313"/>
      <c r="F75" s="2313"/>
      <c r="G75" s="1335">
        <f>SUM(G60:G74)+G34</f>
        <v>0</v>
      </c>
      <c r="H75" s="1335">
        <f>SUM(H60:H74)+H34</f>
        <v>0</v>
      </c>
      <c r="I75" s="1335">
        <f>SUM(I60:I74)+I34</f>
        <v>0</v>
      </c>
      <c r="J75" s="2313"/>
      <c r="K75" s="2313"/>
      <c r="L75" s="1335">
        <f>SUM(L60:L74)+L34</f>
        <v>0</v>
      </c>
    </row>
    <row r="76" spans="1:12" ht="24" customHeight="1">
      <c r="A76" s="1339"/>
      <c r="B76" s="1339" t="s">
        <v>914</v>
      </c>
      <c r="C76" s="1340"/>
      <c r="D76" s="1340"/>
      <c r="E76" s="1340"/>
      <c r="F76" s="1340"/>
      <c r="G76" s="1340"/>
      <c r="H76" s="1340"/>
      <c r="I76" s="1340"/>
      <c r="J76" s="1340"/>
      <c r="K76" s="1340"/>
      <c r="L76" s="1340"/>
    </row>
    <row r="77" spans="1:12" ht="4.5" customHeight="1" thickBot="1">
      <c r="A77" s="1339"/>
      <c r="B77" s="1336"/>
      <c r="C77" s="1340"/>
      <c r="D77" s="1340"/>
      <c r="E77" s="1340"/>
      <c r="F77" s="1340"/>
      <c r="G77" s="1340"/>
      <c r="H77" s="1340"/>
      <c r="I77" s="1340"/>
      <c r="J77" s="1340"/>
      <c r="K77" s="1340"/>
      <c r="L77" s="1340"/>
    </row>
    <row r="78" spans="1:12" ht="15" customHeight="1">
      <c r="A78" s="1119"/>
      <c r="B78" s="1120"/>
      <c r="C78" s="1121"/>
      <c r="D78" s="1122"/>
      <c r="E78" s="1122"/>
      <c r="F78" s="1120"/>
      <c r="G78" s="1121"/>
      <c r="H78" s="1121"/>
      <c r="I78" s="1121"/>
      <c r="J78" s="1123"/>
      <c r="K78" s="1120"/>
      <c r="L78" s="1344">
        <f t="shared" ref="L78:L91" si="2">G78+H78+I78</f>
        <v>0</v>
      </c>
    </row>
    <row r="79" spans="1:12" ht="15" customHeight="1">
      <c r="A79" s="1119"/>
      <c r="B79" s="1113"/>
      <c r="C79" s="1124"/>
      <c r="D79" s="1126"/>
      <c r="E79" s="1126"/>
      <c r="F79" s="1113"/>
      <c r="G79" s="1124"/>
      <c r="H79" s="1124"/>
      <c r="I79" s="1124"/>
      <c r="J79" s="1127"/>
      <c r="K79" s="1113"/>
      <c r="L79" s="1343">
        <f t="shared" si="2"/>
        <v>0</v>
      </c>
    </row>
    <row r="80" spans="1:12" ht="15" customHeight="1">
      <c r="A80" s="1119"/>
      <c r="B80" s="1113"/>
      <c r="C80" s="1124"/>
      <c r="D80" s="1126"/>
      <c r="E80" s="1126"/>
      <c r="F80" s="1113"/>
      <c r="G80" s="1124"/>
      <c r="H80" s="1124"/>
      <c r="I80" s="1124"/>
      <c r="J80" s="1127"/>
      <c r="K80" s="1113"/>
      <c r="L80" s="1343">
        <f t="shared" si="2"/>
        <v>0</v>
      </c>
    </row>
    <row r="81" spans="1:12" ht="15" customHeight="1">
      <c r="A81" s="1119"/>
      <c r="B81" s="1113"/>
      <c r="C81" s="1124"/>
      <c r="D81" s="1126"/>
      <c r="E81" s="1126"/>
      <c r="F81" s="1113"/>
      <c r="G81" s="1124"/>
      <c r="H81" s="1124"/>
      <c r="I81" s="1124"/>
      <c r="J81" s="1127"/>
      <c r="K81" s="1113"/>
      <c r="L81" s="1343">
        <f t="shared" si="2"/>
        <v>0</v>
      </c>
    </row>
    <row r="82" spans="1:12" ht="15" customHeight="1">
      <c r="A82" s="1119"/>
      <c r="B82" s="1113"/>
      <c r="C82" s="1124"/>
      <c r="D82" s="1126"/>
      <c r="E82" s="1126"/>
      <c r="F82" s="1113"/>
      <c r="G82" s="1124"/>
      <c r="H82" s="1124"/>
      <c r="I82" s="1124"/>
      <c r="J82" s="1127"/>
      <c r="K82" s="1113"/>
      <c r="L82" s="1343">
        <f t="shared" si="2"/>
        <v>0</v>
      </c>
    </row>
    <row r="83" spans="1:12" ht="15" customHeight="1">
      <c r="A83" s="1119"/>
      <c r="B83" s="1113"/>
      <c r="C83" s="1124"/>
      <c r="D83" s="1126"/>
      <c r="E83" s="1126"/>
      <c r="F83" s="1113"/>
      <c r="G83" s="1124"/>
      <c r="H83" s="1124"/>
      <c r="I83" s="1124"/>
      <c r="J83" s="1127"/>
      <c r="K83" s="1113"/>
      <c r="L83" s="1343">
        <f t="shared" si="2"/>
        <v>0</v>
      </c>
    </row>
    <row r="84" spans="1:12" ht="15" customHeight="1">
      <c r="A84" s="1119"/>
      <c r="B84" s="1113"/>
      <c r="C84" s="1124"/>
      <c r="D84" s="1126"/>
      <c r="E84" s="1126"/>
      <c r="F84" s="1113"/>
      <c r="G84" s="1124"/>
      <c r="H84" s="1124"/>
      <c r="I84" s="1124"/>
      <c r="J84" s="1127"/>
      <c r="K84" s="1113"/>
      <c r="L84" s="1343">
        <f t="shared" si="2"/>
        <v>0</v>
      </c>
    </row>
    <row r="85" spans="1:12" ht="15" customHeight="1">
      <c r="A85" s="1119"/>
      <c r="B85" s="1113"/>
      <c r="C85" s="1124"/>
      <c r="D85" s="1126"/>
      <c r="E85" s="1126"/>
      <c r="F85" s="1113"/>
      <c r="G85" s="1124"/>
      <c r="H85" s="1124"/>
      <c r="I85" s="1124"/>
      <c r="J85" s="1127"/>
      <c r="K85" s="1113"/>
      <c r="L85" s="1343">
        <f t="shared" si="2"/>
        <v>0</v>
      </c>
    </row>
    <row r="86" spans="1:12" ht="15" customHeight="1">
      <c r="A86" s="1119"/>
      <c r="B86" s="1113"/>
      <c r="C86" s="1124"/>
      <c r="D86" s="1126"/>
      <c r="E86" s="1126"/>
      <c r="F86" s="1113"/>
      <c r="G86" s="1124"/>
      <c r="H86" s="1124"/>
      <c r="I86" s="1124"/>
      <c r="J86" s="1127"/>
      <c r="K86" s="1113"/>
      <c r="L86" s="1343">
        <f t="shared" si="2"/>
        <v>0</v>
      </c>
    </row>
    <row r="87" spans="1:12" ht="15" customHeight="1">
      <c r="A87" s="1119"/>
      <c r="B87" s="1113"/>
      <c r="C87" s="1124"/>
      <c r="D87" s="1126"/>
      <c r="E87" s="1126"/>
      <c r="F87" s="1113"/>
      <c r="G87" s="1124"/>
      <c r="H87" s="1124"/>
      <c r="I87" s="1124"/>
      <c r="J87" s="1127"/>
      <c r="K87" s="1113"/>
      <c r="L87" s="1343">
        <f t="shared" si="2"/>
        <v>0</v>
      </c>
    </row>
    <row r="88" spans="1:12" ht="15" customHeight="1">
      <c r="A88" s="1119"/>
      <c r="B88" s="1113"/>
      <c r="C88" s="1124"/>
      <c r="D88" s="1126"/>
      <c r="E88" s="1126"/>
      <c r="F88" s="1113"/>
      <c r="G88" s="1124"/>
      <c r="H88" s="1124"/>
      <c r="I88" s="1124"/>
      <c r="J88" s="1127"/>
      <c r="K88" s="1113"/>
      <c r="L88" s="1343">
        <f t="shared" si="2"/>
        <v>0</v>
      </c>
    </row>
    <row r="89" spans="1:12" ht="15" customHeight="1">
      <c r="A89" s="1119"/>
      <c r="B89" s="1113"/>
      <c r="C89" s="1124"/>
      <c r="D89" s="1126"/>
      <c r="E89" s="1126"/>
      <c r="F89" s="1113"/>
      <c r="G89" s="1124"/>
      <c r="H89" s="1124"/>
      <c r="I89" s="1124"/>
      <c r="J89" s="1127"/>
      <c r="K89" s="1113"/>
      <c r="L89" s="1343">
        <f t="shared" si="2"/>
        <v>0</v>
      </c>
    </row>
    <row r="90" spans="1:12" ht="15" customHeight="1">
      <c r="A90" s="1119"/>
      <c r="B90" s="1113"/>
      <c r="C90" s="1124"/>
      <c r="D90" s="1126"/>
      <c r="E90" s="1126"/>
      <c r="F90" s="1113"/>
      <c r="G90" s="1124"/>
      <c r="H90" s="1124"/>
      <c r="I90" s="1124"/>
      <c r="J90" s="1127"/>
      <c r="K90" s="1113"/>
      <c r="L90" s="1343">
        <f t="shared" si="2"/>
        <v>0</v>
      </c>
    </row>
    <row r="91" spans="1:12" ht="15" customHeight="1" thickBot="1">
      <c r="A91" s="1119"/>
      <c r="B91" s="1128"/>
      <c r="C91" s="1129"/>
      <c r="D91" s="1130"/>
      <c r="E91" s="1130"/>
      <c r="F91" s="1128"/>
      <c r="G91" s="1129"/>
      <c r="H91" s="1129"/>
      <c r="I91" s="1129"/>
      <c r="J91" s="1131"/>
      <c r="K91" s="1128"/>
      <c r="L91" s="1343">
        <f t="shared" si="2"/>
        <v>0</v>
      </c>
    </row>
    <row r="92" spans="1:12" ht="21" customHeight="1" thickBot="1">
      <c r="A92" s="1132"/>
      <c r="B92" s="1341" t="s">
        <v>913</v>
      </c>
      <c r="C92" s="1342">
        <f>SUM(C78:C91)</f>
        <v>0</v>
      </c>
      <c r="D92" s="2313"/>
      <c r="E92" s="2313"/>
      <c r="F92" s="2313"/>
      <c r="G92" s="1342">
        <f>SUM(G78:G91)</f>
        <v>0</v>
      </c>
      <c r="H92" s="1342">
        <f>SUM(H78:H91)</f>
        <v>0</v>
      </c>
      <c r="I92" s="1342">
        <f>SUM(I78:I91)</f>
        <v>0</v>
      </c>
      <c r="J92" s="2313"/>
      <c r="K92" s="2313"/>
      <c r="L92" s="1342">
        <f>SUM(L78:L91)</f>
        <v>0</v>
      </c>
    </row>
    <row r="310" spans="1:1">
      <c r="A310" s="1137" t="s">
        <v>915</v>
      </c>
    </row>
  </sheetData>
  <sheetProtection algorithmName="SHA-512" hashValue="WGutqN6Yutib5yjTDEqG4OSVm29BKHjEmPU1pE8i7evLOdhnIsniPMx6Ep/v2C8bDY9WjAEvhzywtMphohT7Xw==" saltValue="sBixH8qetLhS5/xQJofETA==" spinCount="100000" sheet="1" objects="1" scenarios="1" selectLockedCells="1"/>
  <mergeCells count="26">
    <mergeCell ref="A2:L2"/>
    <mergeCell ref="A4:A6"/>
    <mergeCell ref="B4:B6"/>
    <mergeCell ref="C4:C6"/>
    <mergeCell ref="D4:D6"/>
    <mergeCell ref="E4:E6"/>
    <mergeCell ref="F4:F6"/>
    <mergeCell ref="G4:L4"/>
    <mergeCell ref="G5:G6"/>
    <mergeCell ref="H5:H6"/>
    <mergeCell ref="A75:B75"/>
    <mergeCell ref="I5:K5"/>
    <mergeCell ref="L5:L6"/>
    <mergeCell ref="A34:B34"/>
    <mergeCell ref="A54:L54"/>
    <mergeCell ref="A56:A58"/>
    <mergeCell ref="B56:B58"/>
    <mergeCell ref="C56:C58"/>
    <mergeCell ref="D56:D58"/>
    <mergeCell ref="E56:E58"/>
    <mergeCell ref="F56:F58"/>
    <mergeCell ref="G56:L56"/>
    <mergeCell ref="G57:G58"/>
    <mergeCell ref="H57:H58"/>
    <mergeCell ref="I57:K57"/>
    <mergeCell ref="L57:L58"/>
  </mergeCells>
  <dataValidations count="1">
    <dataValidation type="list" allowBlank="1" showInputMessage="1" showErrorMessage="1" sqref="F60:F74 F8:F33">
      <formula1>"Linéaire,Dégressif,Exceptionnel,Manuel"</formula1>
    </dataValidation>
  </dataValidations>
  <printOptions horizontalCentered="1" verticalCentered="1"/>
  <pageMargins left="0.59055118110236227" right="0.59055118110236227" top="0.39370078740157483" bottom="0.59055118110236227" header="0.51181102362204722" footer="0.39370078740157483"/>
  <pageSetup paperSize="9" scale="53" firstPageNumber="2" fitToHeight="0" orientation="portrait" horizontalDpi="300" verticalDpi="300" r:id="rId1"/>
  <headerFooter alignWithMargins="0">
    <oddFooter>&amp;L&amp;"Arial,Gras"&amp;8Production CIFO&amp;R&amp;"Arial,Gras"&amp;8Page &amp;P</oddFooter>
  </headerFooter>
  <rowBreaks count="1" manualBreakCount="1">
    <brk id="5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FF0000"/>
    <pageSetUpPr autoPageBreaks="0" fitToPage="1"/>
  </sheetPr>
  <dimension ref="A1:J300"/>
  <sheetViews>
    <sheetView showGridLines="0" zoomScaleNormal="100" workbookViewId="0">
      <pane ySplit="6" topLeftCell="A7" activePane="bottomLeft" state="frozenSplit"/>
      <selection activeCell="C13" sqref="C13"/>
      <selection pane="bottomLeft" activeCell="A8" sqref="A8"/>
    </sheetView>
  </sheetViews>
  <sheetFormatPr baseColWidth="10" defaultRowHeight="12.75"/>
  <cols>
    <col min="1" max="1" width="30.7109375" style="1090" customWidth="1"/>
    <col min="2" max="2" width="11.7109375" style="1090" customWidth="1"/>
    <col min="3" max="3" width="8.85546875" style="1090" customWidth="1"/>
    <col min="4" max="4" width="8.42578125" style="1090" customWidth="1"/>
    <col min="5" max="6" width="12.7109375" style="1090" customWidth="1"/>
    <col min="7" max="7" width="10.7109375" style="1090" customWidth="1"/>
    <col min="8" max="8" width="15.140625" style="1090" customWidth="1"/>
    <col min="9" max="9" width="10.85546875" style="1090" bestFit="1" customWidth="1"/>
    <col min="10" max="16384" width="11.42578125" style="1090"/>
  </cols>
  <sheetData>
    <row r="1" spans="1:10" ht="13.5" thickBot="1">
      <c r="A1" s="1345"/>
      <c r="B1" s="1346"/>
      <c r="C1" s="1346"/>
      <c r="D1" s="1346"/>
      <c r="E1" s="1346"/>
      <c r="F1" s="1346"/>
      <c r="G1" s="1346"/>
      <c r="H1" s="1346"/>
      <c r="I1" s="1347"/>
    </row>
    <row r="2" spans="1:10" ht="24.95" customHeight="1" thickBot="1">
      <c r="A2" s="2317" t="s">
        <v>916</v>
      </c>
      <c r="B2" s="2318"/>
      <c r="C2" s="2318"/>
      <c r="D2" s="2318"/>
      <c r="E2" s="2318"/>
      <c r="F2" s="2318"/>
      <c r="G2" s="2318"/>
      <c r="H2" s="2318"/>
      <c r="I2" s="2319"/>
    </row>
    <row r="3" spans="1:10">
      <c r="A3" s="1348"/>
      <c r="B3" s="1349"/>
      <c r="C3" s="1348"/>
      <c r="D3" s="1348"/>
      <c r="E3" s="1348"/>
      <c r="F3" s="1348"/>
      <c r="G3" s="1348"/>
      <c r="H3" s="1348"/>
      <c r="I3" s="1348"/>
    </row>
    <row r="4" spans="1:10">
      <c r="A4" s="1350"/>
      <c r="B4" s="1351"/>
      <c r="C4" s="1351"/>
      <c r="D4" s="1351"/>
      <c r="E4" s="1351"/>
      <c r="F4" s="1351"/>
      <c r="G4" s="1351"/>
      <c r="H4" s="1351"/>
      <c r="I4" s="1351"/>
    </row>
    <row r="5" spans="1:10" ht="33.75" customHeight="1">
      <c r="A5" s="2086" t="s">
        <v>917</v>
      </c>
      <c r="B5" s="2087" t="s">
        <v>918</v>
      </c>
      <c r="C5" s="2087" t="s">
        <v>919</v>
      </c>
      <c r="D5" s="2087" t="s">
        <v>920</v>
      </c>
      <c r="E5" s="2087" t="s">
        <v>537</v>
      </c>
      <c r="F5" s="2087" t="s">
        <v>921</v>
      </c>
      <c r="G5" s="2087"/>
      <c r="H5" s="2087" t="str">
        <f>"Remboursement du capital de l'année "&amp;'Bilan financier'!E17</f>
        <v>Remboursement du capital de l'année 2019</v>
      </c>
      <c r="I5" s="2087" t="str">
        <f>"Montant des intérêts de l'année "&amp;'Bilan financier'!E17</f>
        <v>Montant des intérêts de l'année 2019</v>
      </c>
    </row>
    <row r="6" spans="1:10" ht="32.25" customHeight="1">
      <c r="A6" s="2086"/>
      <c r="B6" s="2087"/>
      <c r="C6" s="2087"/>
      <c r="D6" s="2087"/>
      <c r="E6" s="2087"/>
      <c r="F6" s="1352" t="s">
        <v>922</v>
      </c>
      <c r="G6" s="1352" t="s">
        <v>526</v>
      </c>
      <c r="H6" s="2087"/>
      <c r="I6" s="2087"/>
    </row>
    <row r="7" spans="1:10">
      <c r="A7" s="1138"/>
      <c r="B7" s="1139"/>
      <c r="C7" s="1139"/>
      <c r="D7" s="1139"/>
      <c r="E7" s="1139"/>
      <c r="F7" s="1139"/>
      <c r="G7" s="1139"/>
      <c r="H7" s="1139"/>
      <c r="I7" s="1139"/>
    </row>
    <row r="8" spans="1:10">
      <c r="A8" s="1140"/>
      <c r="B8" s="1141"/>
      <c r="C8" s="1142"/>
      <c r="D8" s="1143"/>
      <c r="E8" s="1144"/>
      <c r="F8" s="1145"/>
      <c r="G8" s="1145"/>
      <c r="H8" s="1144"/>
      <c r="I8" s="1144"/>
    </row>
    <row r="9" spans="1:10">
      <c r="A9" s="1146"/>
      <c r="B9" s="1147"/>
      <c r="C9" s="1148"/>
      <c r="D9" s="1149"/>
      <c r="E9" s="1150"/>
      <c r="F9" s="1151"/>
      <c r="G9" s="1151"/>
      <c r="H9" s="1150"/>
      <c r="I9" s="1150"/>
    </row>
    <row r="10" spans="1:10">
      <c r="A10" s="1146"/>
      <c r="B10" s="1152"/>
      <c r="C10" s="1153"/>
      <c r="D10" s="1149"/>
      <c r="E10" s="1150"/>
      <c r="F10" s="1151"/>
      <c r="G10" s="1151"/>
      <c r="H10" s="1150"/>
      <c r="I10" s="1150"/>
    </row>
    <row r="11" spans="1:10">
      <c r="A11" s="1140"/>
      <c r="B11" s="1141"/>
      <c r="C11" s="1142"/>
      <c r="D11" s="1143"/>
      <c r="E11" s="1144"/>
      <c r="F11" s="1151"/>
      <c r="G11" s="1151"/>
      <c r="H11" s="1144"/>
      <c r="I11" s="1144"/>
      <c r="J11" s="1154"/>
    </row>
    <row r="12" spans="1:10">
      <c r="A12" s="1146"/>
      <c r="B12" s="1152"/>
      <c r="C12" s="1153"/>
      <c r="D12" s="1149"/>
      <c r="E12" s="1150"/>
      <c r="F12" s="1151"/>
      <c r="G12" s="1151"/>
      <c r="H12" s="1150"/>
      <c r="I12" s="1150"/>
      <c r="J12" s="1154"/>
    </row>
    <row r="13" spans="1:10">
      <c r="A13" s="1146"/>
      <c r="B13" s="1152"/>
      <c r="C13" s="1153"/>
      <c r="D13" s="1149"/>
      <c r="E13" s="1150"/>
      <c r="F13" s="1151"/>
      <c r="G13" s="1151"/>
      <c r="H13" s="1150"/>
      <c r="I13" s="1150"/>
    </row>
    <row r="14" spans="1:10">
      <c r="A14" s="1146"/>
      <c r="B14" s="1152"/>
      <c r="C14" s="1153"/>
      <c r="D14" s="1149"/>
      <c r="E14" s="1150"/>
      <c r="F14" s="1151"/>
      <c r="G14" s="1151"/>
      <c r="H14" s="1150"/>
      <c r="I14" s="1150"/>
    </row>
    <row r="15" spans="1:10">
      <c r="A15" s="1146"/>
      <c r="B15" s="1152"/>
      <c r="C15" s="1153"/>
      <c r="D15" s="1149"/>
      <c r="E15" s="1150"/>
      <c r="F15" s="1151"/>
      <c r="G15" s="1151"/>
      <c r="H15" s="1150"/>
      <c r="I15" s="1150"/>
    </row>
    <row r="16" spans="1:10">
      <c r="A16" s="1146"/>
      <c r="B16" s="1152"/>
      <c r="C16" s="1153"/>
      <c r="D16" s="1149"/>
      <c r="E16" s="1150"/>
      <c r="F16" s="1151"/>
      <c r="G16" s="1151"/>
      <c r="H16" s="1150"/>
      <c r="I16" s="1150"/>
    </row>
    <row r="17" spans="1:9">
      <c r="A17" s="1146"/>
      <c r="B17" s="1152"/>
      <c r="C17" s="1153"/>
      <c r="D17" s="1149"/>
      <c r="E17" s="1150"/>
      <c r="F17" s="1151"/>
      <c r="G17" s="1151"/>
      <c r="H17" s="1150"/>
      <c r="I17" s="1150"/>
    </row>
    <row r="18" spans="1:9">
      <c r="A18" s="1146"/>
      <c r="B18" s="1152"/>
      <c r="C18" s="1153"/>
      <c r="D18" s="1149"/>
      <c r="E18" s="1150"/>
      <c r="F18" s="1151"/>
      <c r="G18" s="1151"/>
      <c r="H18" s="1150"/>
      <c r="I18" s="1150"/>
    </row>
    <row r="19" spans="1:9">
      <c r="A19" s="1146"/>
      <c r="B19" s="1152"/>
      <c r="C19" s="1153"/>
      <c r="D19" s="1149"/>
      <c r="E19" s="1150"/>
      <c r="F19" s="1151"/>
      <c r="G19" s="1151"/>
      <c r="H19" s="1150"/>
      <c r="I19" s="1150"/>
    </row>
    <row r="20" spans="1:9">
      <c r="A20" s="1146"/>
      <c r="B20" s="1152"/>
      <c r="C20" s="1153"/>
      <c r="D20" s="1149"/>
      <c r="E20" s="1150"/>
      <c r="F20" s="1151"/>
      <c r="G20" s="1151"/>
      <c r="H20" s="1150"/>
      <c r="I20" s="1150"/>
    </row>
    <row r="21" spans="1:9">
      <c r="A21" s="1146"/>
      <c r="B21" s="1152"/>
      <c r="C21" s="1153"/>
      <c r="D21" s="1149"/>
      <c r="E21" s="1150"/>
      <c r="F21" s="1151"/>
      <c r="G21" s="1151"/>
      <c r="H21" s="1150"/>
      <c r="I21" s="1150"/>
    </row>
    <row r="22" spans="1:9">
      <c r="A22" s="1146"/>
      <c r="B22" s="1152"/>
      <c r="C22" s="1153"/>
      <c r="D22" s="1149"/>
      <c r="E22" s="1150"/>
      <c r="F22" s="1151"/>
      <c r="G22" s="1151"/>
      <c r="H22" s="1150"/>
      <c r="I22" s="1150"/>
    </row>
    <row r="23" spans="1:9">
      <c r="A23" s="1146"/>
      <c r="B23" s="1152"/>
      <c r="C23" s="1153"/>
      <c r="D23" s="1149"/>
      <c r="E23" s="1150"/>
      <c r="F23" s="1151"/>
      <c r="G23" s="1151"/>
      <c r="H23" s="1150"/>
      <c r="I23" s="1150"/>
    </row>
    <row r="24" spans="1:9">
      <c r="A24" s="1146"/>
      <c r="B24" s="1152"/>
      <c r="C24" s="1153"/>
      <c r="D24" s="1149"/>
      <c r="E24" s="1150"/>
      <c r="F24" s="1151"/>
      <c r="G24" s="1151"/>
      <c r="H24" s="1150"/>
      <c r="I24" s="1150"/>
    </row>
    <row r="25" spans="1:9">
      <c r="A25" s="1146"/>
      <c r="B25" s="1152"/>
      <c r="C25" s="1153"/>
      <c r="D25" s="1149"/>
      <c r="E25" s="1150"/>
      <c r="F25" s="1151"/>
      <c r="G25" s="1151"/>
      <c r="H25" s="1150"/>
      <c r="I25" s="1150"/>
    </row>
    <row r="26" spans="1:9">
      <c r="A26" s="1146"/>
      <c r="B26" s="1152"/>
      <c r="C26" s="1153"/>
      <c r="D26" s="1149"/>
      <c r="E26" s="1150"/>
      <c r="F26" s="1151"/>
      <c r="G26" s="1151"/>
      <c r="H26" s="1150"/>
      <c r="I26" s="1150"/>
    </row>
    <row r="27" spans="1:9">
      <c r="A27" s="1146"/>
      <c r="B27" s="1152"/>
      <c r="C27" s="1153"/>
      <c r="D27" s="1149"/>
      <c r="E27" s="1150"/>
      <c r="F27" s="1151"/>
      <c r="G27" s="1151"/>
      <c r="H27" s="1150"/>
      <c r="I27" s="1150"/>
    </row>
    <row r="28" spans="1:9">
      <c r="A28" s="1155"/>
      <c r="B28" s="1156"/>
      <c r="C28" s="1153"/>
      <c r="D28" s="1149"/>
      <c r="E28" s="1150"/>
      <c r="F28" s="1157"/>
      <c r="G28" s="1157"/>
      <c r="H28" s="1158"/>
      <c r="I28" s="1158"/>
    </row>
    <row r="29" spans="1:9" ht="13.5" thickBot="1">
      <c r="A29" s="1159"/>
      <c r="B29" s="1160"/>
      <c r="C29" s="1161"/>
      <c r="D29" s="1162"/>
      <c r="E29" s="1163"/>
      <c r="F29" s="1164"/>
      <c r="G29" s="1164"/>
      <c r="H29" s="1163"/>
      <c r="I29" s="1163"/>
    </row>
    <row r="30" spans="1:9" ht="24" customHeight="1" thickTop="1" thickBot="1">
      <c r="A30" s="1353" t="s">
        <v>923</v>
      </c>
      <c r="B30" s="2316"/>
      <c r="C30" s="2316"/>
      <c r="D30" s="2316"/>
      <c r="E30" s="1354">
        <f>SUM(E8:E29)</f>
        <v>0</v>
      </c>
      <c r="F30" s="1354">
        <f>SUM(F8:F29)</f>
        <v>0</v>
      </c>
      <c r="G30" s="1354">
        <f>SUM(G8:G29)</f>
        <v>0</v>
      </c>
      <c r="H30" s="1354">
        <f>SUM(H8:H29)</f>
        <v>0</v>
      </c>
      <c r="I30" s="1355">
        <f>SUM(I8:I29)</f>
        <v>0</v>
      </c>
    </row>
    <row r="31" spans="1:9" ht="13.5" thickTop="1"/>
    <row r="300" spans="1:1">
      <c r="A300" s="1137" t="s">
        <v>915</v>
      </c>
    </row>
  </sheetData>
  <sheetProtection algorithmName="SHA-512" hashValue="kYtoYnGzgB9AXqv/T0zUcIQ4Q+/FSxPKTggo3XKEb2Dbo9dmrqWz7xAro8P/PFdi2ignyDGK5SsejSBcnbg6Ww==" saltValue="yVnTldYyYjYvVCYks6UVuA==" spinCount="100000" sheet="1" objects="1" scenarios="1" selectLockedCells="1"/>
  <mergeCells count="9">
    <mergeCell ref="A2:I2"/>
    <mergeCell ref="A5:A6"/>
    <mergeCell ref="B5:B6"/>
    <mergeCell ref="C5:C6"/>
    <mergeCell ref="D5:D6"/>
    <mergeCell ref="E5:E6"/>
    <mergeCell ref="F5:G5"/>
    <mergeCell ref="H5:H6"/>
    <mergeCell ref="I5:I6"/>
  </mergeCells>
  <printOptions horizontalCentered="1" verticalCentered="1"/>
  <pageMargins left="0.78740157480314965" right="0.78740157480314965" top="0.78740157480314965" bottom="0.78740157480314965" header="0.51181102362204722" footer="0.51181102362204722"/>
  <pageSetup paperSize="9" firstPageNumber="2" orientation="landscape" r:id="rId1"/>
  <headerFooter alignWithMargins="0">
    <oddFooter>&amp;L&amp;"Arial,Gras"&amp;8Production CIFO&amp;R&amp;"Arial,Gras"&amp;8Page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9" tint="-0.249977111117893"/>
  </sheetPr>
  <dimension ref="C1:K51"/>
  <sheetViews>
    <sheetView view="pageBreakPreview" zoomScale="90" zoomScaleNormal="100" zoomScaleSheetLayoutView="90" workbookViewId="0"/>
  </sheetViews>
  <sheetFormatPr baseColWidth="10" defaultRowHeight="16.5"/>
  <cols>
    <col min="1" max="1" width="11.42578125" style="1019"/>
    <col min="2" max="2" width="5.7109375" style="1019" customWidth="1"/>
    <col min="3" max="8" width="11.42578125" style="1019"/>
    <col min="9" max="9" width="23.7109375" style="1019" customWidth="1"/>
    <col min="10" max="10" width="20.7109375" style="1019" customWidth="1"/>
    <col min="11" max="16384" width="11.42578125" style="1019"/>
  </cols>
  <sheetData>
    <row r="1" spans="3:10" ht="17.25" thickBot="1"/>
    <row r="2" spans="3:10" ht="24.95" customHeight="1" thickBot="1">
      <c r="C2" s="2320" t="s">
        <v>811</v>
      </c>
      <c r="D2" s="2321"/>
      <c r="E2" s="2321"/>
      <c r="F2" s="2321"/>
      <c r="G2" s="2321"/>
      <c r="H2" s="2321"/>
      <c r="I2" s="2321"/>
      <c r="J2" s="2322"/>
    </row>
    <row r="5" spans="3:10">
      <c r="C5" s="1023" t="s">
        <v>797</v>
      </c>
      <c r="J5" s="1025"/>
    </row>
    <row r="6" spans="3:10" ht="8.1" customHeight="1">
      <c r="C6" s="1023"/>
      <c r="J6" s="1025"/>
    </row>
    <row r="7" spans="3:10" ht="16.5" customHeight="1">
      <c r="C7" s="2090" t="s">
        <v>365</v>
      </c>
      <c r="D7" s="2090"/>
      <c r="E7" s="2090"/>
      <c r="F7" s="2090"/>
      <c r="G7" s="2090"/>
      <c r="H7" s="2090"/>
      <c r="I7" s="2090"/>
      <c r="J7" s="2090"/>
    </row>
    <row r="8" spans="3:10" ht="16.5" customHeight="1">
      <c r="C8" s="2090"/>
      <c r="D8" s="2090"/>
      <c r="E8" s="2090"/>
      <c r="F8" s="2090"/>
      <c r="G8" s="2090"/>
      <c r="H8" s="2090"/>
      <c r="I8" s="2090"/>
      <c r="J8" s="2090"/>
    </row>
    <row r="9" spans="3:10">
      <c r="C9" s="2090"/>
      <c r="D9" s="2090"/>
      <c r="E9" s="2090"/>
      <c r="F9" s="2090"/>
      <c r="G9" s="2090"/>
      <c r="H9" s="2090"/>
      <c r="I9" s="2090"/>
      <c r="J9" s="2090"/>
    </row>
    <row r="10" spans="3:10" ht="20.100000000000001" customHeight="1"/>
    <row r="11" spans="3:10">
      <c r="C11" s="1023" t="s">
        <v>798</v>
      </c>
      <c r="J11" s="1025"/>
    </row>
    <row r="12" spans="3:10" ht="8.1" customHeight="1">
      <c r="C12" s="1023"/>
      <c r="J12" s="1025"/>
    </row>
    <row r="13" spans="3:10">
      <c r="C13" s="2090" t="s">
        <v>365</v>
      </c>
      <c r="D13" s="2090"/>
      <c r="E13" s="2090"/>
      <c r="F13" s="2090"/>
      <c r="G13" s="2090"/>
      <c r="H13" s="2090"/>
      <c r="I13" s="2090"/>
      <c r="J13" s="2090"/>
    </row>
    <row r="14" spans="3:10">
      <c r="C14" s="2090"/>
      <c r="D14" s="2090"/>
      <c r="E14" s="2090"/>
      <c r="F14" s="2090"/>
      <c r="G14" s="2090"/>
      <c r="H14" s="2090"/>
      <c r="I14" s="2090"/>
      <c r="J14" s="2090"/>
    </row>
    <row r="15" spans="3:10">
      <c r="C15" s="2090"/>
      <c r="D15" s="2090"/>
      <c r="E15" s="2090"/>
      <c r="F15" s="2090"/>
      <c r="G15" s="2090"/>
      <c r="H15" s="2090"/>
      <c r="I15" s="2090"/>
      <c r="J15" s="2090"/>
    </row>
    <row r="16" spans="3:10" ht="20.100000000000001" customHeight="1"/>
    <row r="17" spans="3:10">
      <c r="C17" s="1023" t="s">
        <v>800</v>
      </c>
      <c r="J17" s="1026" t="s">
        <v>365</v>
      </c>
    </row>
    <row r="18" spans="3:10" ht="8.1" customHeight="1"/>
    <row r="19" spans="3:10">
      <c r="D19" s="1020" t="s">
        <v>792</v>
      </c>
      <c r="J19" s="1026" t="s">
        <v>365</v>
      </c>
    </row>
    <row r="20" spans="3:10" ht="8.1" customHeight="1">
      <c r="D20" s="1020"/>
    </row>
    <row r="21" spans="3:10">
      <c r="D21" s="1020" t="s">
        <v>793</v>
      </c>
      <c r="J21" s="1026" t="s">
        <v>365</v>
      </c>
    </row>
    <row r="22" spans="3:10" ht="20.100000000000001" customHeight="1">
      <c r="D22" s="1020"/>
    </row>
    <row r="23" spans="3:10">
      <c r="C23" s="1023" t="s">
        <v>786</v>
      </c>
      <c r="D23" s="1020"/>
    </row>
    <row r="24" spans="3:10" ht="8.1" customHeight="1">
      <c r="D24" s="1020"/>
    </row>
    <row r="25" spans="3:10">
      <c r="D25" s="1020" t="s">
        <v>787</v>
      </c>
      <c r="J25" s="1026" t="s">
        <v>365</v>
      </c>
    </row>
    <row r="26" spans="3:10" ht="8.1" customHeight="1">
      <c r="D26" s="1020"/>
    </row>
    <row r="27" spans="3:10">
      <c r="D27" s="1020" t="s">
        <v>788</v>
      </c>
      <c r="J27" s="1026" t="s">
        <v>365</v>
      </c>
    </row>
    <row r="28" spans="3:10" ht="8.1" customHeight="1">
      <c r="D28" s="1020"/>
    </row>
    <row r="29" spans="3:10">
      <c r="D29" s="1020" t="s">
        <v>789</v>
      </c>
      <c r="J29" s="1026" t="s">
        <v>365</v>
      </c>
    </row>
    <row r="30" spans="3:10" ht="20.100000000000001" customHeight="1">
      <c r="D30" s="1020"/>
    </row>
    <row r="31" spans="3:10">
      <c r="C31" s="1023" t="s">
        <v>790</v>
      </c>
      <c r="D31" s="1020"/>
      <c r="J31" s="1026" t="s">
        <v>365</v>
      </c>
    </row>
    <row r="32" spans="3:10" ht="8.1" customHeight="1">
      <c r="D32" s="1020"/>
    </row>
    <row r="33" spans="3:11">
      <c r="D33" s="1020" t="s">
        <v>794</v>
      </c>
    </row>
    <row r="34" spans="3:11">
      <c r="D34" s="2088"/>
      <c r="E34" s="2088"/>
      <c r="F34" s="2088"/>
      <c r="G34" s="2088"/>
      <c r="H34" s="2088"/>
      <c r="I34" s="2088"/>
      <c r="J34" s="2088"/>
    </row>
    <row r="35" spans="3:11">
      <c r="D35" s="2088"/>
      <c r="E35" s="2088"/>
      <c r="F35" s="2088"/>
      <c r="G35" s="2088"/>
      <c r="H35" s="2088"/>
      <c r="I35" s="2088"/>
      <c r="J35" s="2088"/>
    </row>
    <row r="36" spans="3:11">
      <c r="D36" s="2088"/>
      <c r="E36" s="2088"/>
      <c r="F36" s="2088"/>
      <c r="G36" s="2088"/>
      <c r="H36" s="2088"/>
      <c r="I36" s="2088"/>
      <c r="J36" s="2088"/>
    </row>
    <row r="37" spans="3:11" ht="20.100000000000001" customHeight="1">
      <c r="D37" s="1021"/>
      <c r="E37" s="1021"/>
      <c r="F37" s="1021"/>
      <c r="G37" s="1021"/>
      <c r="H37" s="1021"/>
      <c r="I37" s="1021"/>
      <c r="J37" s="1021"/>
    </row>
    <row r="38" spans="3:11">
      <c r="C38" s="1023" t="s">
        <v>795</v>
      </c>
      <c r="D38" s="1020"/>
      <c r="J38" s="1026"/>
    </row>
    <row r="39" spans="3:11" ht="20.100000000000001" customHeight="1">
      <c r="D39" s="1020"/>
    </row>
    <row r="40" spans="3:11">
      <c r="C40" s="1023" t="s">
        <v>791</v>
      </c>
      <c r="D40" s="1020"/>
      <c r="J40" s="1026"/>
    </row>
    <row r="41" spans="3:11" ht="20.100000000000001" customHeight="1">
      <c r="D41" s="1020"/>
    </row>
    <row r="42" spans="3:11">
      <c r="C42" s="1023" t="s">
        <v>801</v>
      </c>
      <c r="D42" s="1020"/>
      <c r="J42" s="1026"/>
    </row>
    <row r="43" spans="3:11" ht="20.100000000000001" customHeight="1">
      <c r="D43" s="1020"/>
    </row>
    <row r="44" spans="3:11">
      <c r="C44" s="1023" t="s">
        <v>796</v>
      </c>
      <c r="D44" s="1020"/>
      <c r="J44" s="1026" t="s">
        <v>365</v>
      </c>
    </row>
    <row r="45" spans="3:11">
      <c r="D45" s="1020"/>
    </row>
    <row r="46" spans="3:11">
      <c r="C46" s="1023" t="s">
        <v>799</v>
      </c>
      <c r="I46" s="1022"/>
    </row>
    <row r="47" spans="3:11" ht="7.5" customHeight="1">
      <c r="C47" s="1023"/>
      <c r="I47" s="1022"/>
    </row>
    <row r="48" spans="3:11" s="1025" customFormat="1" ht="16.5" customHeight="1">
      <c r="C48" s="2089" t="s">
        <v>365</v>
      </c>
      <c r="D48" s="2089"/>
      <c r="E48" s="2089"/>
      <c r="F48" s="2089"/>
      <c r="G48" s="2089"/>
      <c r="H48" s="2089"/>
      <c r="I48" s="2089"/>
      <c r="J48" s="2089"/>
      <c r="K48" s="1024"/>
    </row>
    <row r="49" spans="3:11" s="1025" customFormat="1">
      <c r="C49" s="2089"/>
      <c r="D49" s="2089"/>
      <c r="E49" s="2089"/>
      <c r="F49" s="2089"/>
      <c r="G49" s="2089"/>
      <c r="H49" s="2089"/>
      <c r="I49" s="2089"/>
      <c r="J49" s="2089"/>
      <c r="K49" s="1024"/>
    </row>
    <row r="50" spans="3:11" s="1025" customFormat="1">
      <c r="C50" s="2089"/>
      <c r="D50" s="2089"/>
      <c r="E50" s="2089"/>
      <c r="F50" s="2089"/>
      <c r="G50" s="2089"/>
      <c r="H50" s="2089"/>
      <c r="I50" s="2089"/>
      <c r="J50" s="2089"/>
      <c r="K50" s="1024"/>
    </row>
    <row r="51" spans="3:11">
      <c r="C51" s="2089"/>
      <c r="D51" s="2089"/>
      <c r="E51" s="2089"/>
      <c r="F51" s="2089"/>
      <c r="G51" s="2089"/>
      <c r="H51" s="2089"/>
      <c r="I51" s="2089"/>
      <c r="J51" s="2089"/>
    </row>
  </sheetData>
  <sheetProtection algorithmName="SHA-512" hashValue="31zKiOUxc1p7xfRPIgq+oRx6zAhPPjkaosXwLFZlia8tGOtib3S8/zeXZQ58bgWk/ZcMVweiiBy3cc06zb1PMg==" saltValue="V4C6VCrkRQWfRvFUHC9iVQ==" spinCount="100000" sheet="1" objects="1" scenarios="1"/>
  <mergeCells count="5">
    <mergeCell ref="D34:J36"/>
    <mergeCell ref="C48:J51"/>
    <mergeCell ref="C7:J9"/>
    <mergeCell ref="C13:J15"/>
    <mergeCell ref="C2:J2"/>
  </mergeCells>
  <dataValidations count="4">
    <dataValidation type="list" allowBlank="1" showInputMessage="1" showErrorMessage="1" sqref="J19 J21">
      <formula1>"Moins de 30 min,30 min,45 min,1h,1h30,2h,plus de 2h,Non renseigné"</formula1>
    </dataValidation>
    <dataValidation type="list" allowBlank="1" showInputMessage="1" showErrorMessage="1" sqref="J25 J27 J29 J31">
      <formula1>"Très satisfait,Satisfait,Peu satisfait,Pas du tout satisfait,Non renseigné"</formula1>
    </dataValidation>
    <dataValidation type="list" allowBlank="1" showInputMessage="1" showErrorMessage="1" sqref="J44">
      <formula1>"Oui,Non,Non renseigné"</formula1>
    </dataValidation>
    <dataValidation type="list" allowBlank="1" showInputMessage="1" showErrorMessage="1" sqref="J17">
      <formula1>"Moins d'1h,1h,Entre 1h et 1h30,Entre 1h30 et 2h, Entre 2h et 2h30,Plus de 2h30,Non renseigné"</formula1>
    </dataValidation>
  </dataValidations>
  <pageMargins left="0.7" right="0.7" top="0.75" bottom="0.75" header="0.3" footer="0.3"/>
  <pageSetup paperSize="9" scale="6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C16"/>
  <sheetViews>
    <sheetView view="pageBreakPreview" zoomScaleNormal="100" zoomScaleSheetLayoutView="100" workbookViewId="0">
      <selection activeCell="H15" sqref="H15"/>
    </sheetView>
  </sheetViews>
  <sheetFormatPr baseColWidth="10" defaultRowHeight="15"/>
  <cols>
    <col min="1" max="1" width="6.85546875" style="1029" bestFit="1" customWidth="1"/>
    <col min="2" max="2" width="79.42578125" style="1029" bestFit="1" customWidth="1"/>
    <col min="3" max="3" width="12.5703125" style="1038" bestFit="1" customWidth="1"/>
    <col min="4" max="4" width="5.7109375" style="2" customWidth="1"/>
    <col min="5" max="16384" width="11.42578125" style="2"/>
  </cols>
  <sheetData>
    <row r="1" spans="1:3" s="1028" customFormat="1" ht="12.75">
      <c r="A1" s="1030" t="s">
        <v>802</v>
      </c>
      <c r="B1" s="1030" t="s">
        <v>803</v>
      </c>
      <c r="C1" s="1034" t="s">
        <v>804</v>
      </c>
    </row>
    <row r="2" spans="1:3">
      <c r="A2" s="1031">
        <v>1</v>
      </c>
      <c r="B2" s="1031" t="s">
        <v>797</v>
      </c>
      <c r="C2" s="1035" t="str">
        <f>REX!C7</f>
        <v>Non renseigné</v>
      </c>
    </row>
    <row r="3" spans="1:3">
      <c r="A3" s="1032">
        <v>2</v>
      </c>
      <c r="B3" s="1032" t="s">
        <v>798</v>
      </c>
      <c r="C3" s="1036" t="str">
        <f>REX!C13</f>
        <v>Non renseigné</v>
      </c>
    </row>
    <row r="4" spans="1:3">
      <c r="A4" s="1032">
        <v>3</v>
      </c>
      <c r="B4" s="1032" t="s">
        <v>800</v>
      </c>
      <c r="C4" s="1036" t="str">
        <f>REX!J17</f>
        <v>Non renseigné</v>
      </c>
    </row>
    <row r="5" spans="1:3">
      <c r="A5" s="1032">
        <v>4</v>
      </c>
      <c r="B5" s="1032" t="s">
        <v>805</v>
      </c>
      <c r="C5" s="1036" t="str">
        <f>REX!J19</f>
        <v>Non renseigné</v>
      </c>
    </row>
    <row r="6" spans="1:3">
      <c r="A6" s="1032">
        <v>5</v>
      </c>
      <c r="B6" s="1032" t="s">
        <v>806</v>
      </c>
      <c r="C6" s="1036" t="str">
        <f>REX!J21</f>
        <v>Non renseigné</v>
      </c>
    </row>
    <row r="7" spans="1:3">
      <c r="A7" s="1032">
        <v>6</v>
      </c>
      <c r="B7" s="1032" t="s">
        <v>807</v>
      </c>
      <c r="C7" s="1036" t="str">
        <f>REX!J25</f>
        <v>Non renseigné</v>
      </c>
    </row>
    <row r="8" spans="1:3">
      <c r="A8" s="1032">
        <v>7</v>
      </c>
      <c r="B8" s="1032" t="s">
        <v>808</v>
      </c>
      <c r="C8" s="1036" t="str">
        <f>REX!J27</f>
        <v>Non renseigné</v>
      </c>
    </row>
    <row r="9" spans="1:3">
      <c r="A9" s="1032">
        <v>8</v>
      </c>
      <c r="B9" s="1032" t="s">
        <v>809</v>
      </c>
      <c r="C9" s="1036" t="str">
        <f>REX!J29</f>
        <v>Non renseigné</v>
      </c>
    </row>
    <row r="10" spans="1:3">
      <c r="A10" s="1032">
        <v>9</v>
      </c>
      <c r="B10" s="1032" t="s">
        <v>790</v>
      </c>
      <c r="C10" s="1036" t="str">
        <f>REX!J31</f>
        <v>Non renseigné</v>
      </c>
    </row>
    <row r="11" spans="1:3">
      <c r="A11" s="1032">
        <v>10</v>
      </c>
      <c r="B11" s="1032" t="s">
        <v>794</v>
      </c>
      <c r="C11" s="1036">
        <f>REX!D34</f>
        <v>0</v>
      </c>
    </row>
    <row r="12" spans="1:3">
      <c r="A12" s="1032">
        <v>11</v>
      </c>
      <c r="B12" s="1032" t="s">
        <v>795</v>
      </c>
      <c r="C12" s="1036">
        <f>REX!J38</f>
        <v>0</v>
      </c>
    </row>
    <row r="13" spans="1:3">
      <c r="A13" s="1032">
        <v>12</v>
      </c>
      <c r="B13" s="1032" t="s">
        <v>791</v>
      </c>
      <c r="C13" s="1036">
        <f>REX!J40</f>
        <v>0</v>
      </c>
    </row>
    <row r="14" spans="1:3">
      <c r="A14" s="1032">
        <v>13</v>
      </c>
      <c r="B14" s="1032" t="s">
        <v>801</v>
      </c>
      <c r="C14" s="1036">
        <f>REX!J42</f>
        <v>0</v>
      </c>
    </row>
    <row r="15" spans="1:3">
      <c r="A15" s="1032">
        <v>14</v>
      </c>
      <c r="B15" s="1032" t="s">
        <v>796</v>
      </c>
      <c r="C15" s="1036" t="str">
        <f>REX!J44</f>
        <v>Non renseigné</v>
      </c>
    </row>
    <row r="16" spans="1:3">
      <c r="A16" s="1033">
        <v>15</v>
      </c>
      <c r="B16" s="1033" t="s">
        <v>810</v>
      </c>
      <c r="C16" s="1037" t="str">
        <f>REX!C48</f>
        <v>Non renseigné</v>
      </c>
    </row>
  </sheetData>
  <sheetProtection sheet="1" objects="1" scenarios="1"/>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pageSetUpPr fitToPage="1"/>
  </sheetPr>
  <dimension ref="B1:Q72"/>
  <sheetViews>
    <sheetView tabSelected="1" zoomScale="80" zoomScaleNormal="80" zoomScaleSheetLayoutView="70" workbookViewId="0">
      <selection activeCell="M3" sqref="M3"/>
    </sheetView>
  </sheetViews>
  <sheetFormatPr baseColWidth="10" defaultRowHeight="15"/>
  <cols>
    <col min="1" max="1" width="5.7109375" style="109" customWidth="1"/>
    <col min="2" max="7" width="11.42578125" style="109"/>
    <col min="8" max="8" width="11.42578125" style="116"/>
    <col min="9" max="12" width="11.42578125" style="109"/>
    <col min="13" max="13" width="18.28515625" style="109" bestFit="1" customWidth="1"/>
    <col min="14" max="14" width="11.42578125" style="109"/>
    <col min="15" max="15" width="0" style="109" hidden="1" customWidth="1"/>
    <col min="16" max="16384" width="11.42578125" style="109"/>
  </cols>
  <sheetData>
    <row r="1" spans="2:17">
      <c r="L1" s="556" t="s">
        <v>2177</v>
      </c>
      <c r="M1" s="556"/>
    </row>
    <row r="2" spans="2:17">
      <c r="L2" s="556" t="s">
        <v>812</v>
      </c>
      <c r="M2" s="1046">
        <v>43256</v>
      </c>
    </row>
    <row r="5" spans="2:17" ht="51" customHeight="1"/>
    <row r="7" spans="2:17" ht="30" customHeight="1">
      <c r="B7" s="2091" t="s">
        <v>2178</v>
      </c>
      <c r="C7" s="2092"/>
      <c r="D7" s="2092"/>
      <c r="E7" s="2092"/>
      <c r="F7" s="2092"/>
      <c r="G7" s="2092"/>
      <c r="H7" s="2092"/>
      <c r="I7" s="2092"/>
      <c r="J7" s="2092"/>
      <c r="K7" s="2092"/>
      <c r="L7" s="2093"/>
      <c r="M7" s="116"/>
    </row>
    <row r="8" spans="2:17" ht="30" customHeight="1">
      <c r="B8" s="2094"/>
      <c r="C8" s="2095"/>
      <c r="D8" s="2095"/>
      <c r="E8" s="2095"/>
      <c r="F8" s="2095"/>
      <c r="G8" s="2095"/>
      <c r="H8" s="2095"/>
      <c r="I8" s="2095"/>
      <c r="J8" s="2095"/>
      <c r="K8" s="2095"/>
      <c r="L8" s="2096"/>
    </row>
    <row r="9" spans="2:17" ht="18" customHeight="1">
      <c r="B9" s="110"/>
      <c r="C9" s="110"/>
      <c r="D9" s="110"/>
      <c r="E9" s="110"/>
      <c r="F9" s="110"/>
      <c r="G9" s="110"/>
      <c r="H9" s="110"/>
      <c r="I9" s="110"/>
      <c r="J9" s="110"/>
      <c r="K9" s="110"/>
      <c r="L9" s="110"/>
      <c r="O9" s="1062"/>
    </row>
    <row r="10" spans="2:17" ht="5.0999999999999996" customHeight="1">
      <c r="B10" s="111"/>
      <c r="C10" s="111"/>
      <c r="D10" s="111"/>
      <c r="E10" s="111"/>
      <c r="F10" s="111"/>
      <c r="G10" s="111"/>
      <c r="H10" s="703"/>
      <c r="I10" s="111"/>
      <c r="O10" s="1062"/>
    </row>
    <row r="11" spans="2:17" ht="15" customHeight="1">
      <c r="B11" s="1366" t="s">
        <v>604</v>
      </c>
      <c r="C11" s="1366"/>
      <c r="D11" s="1366"/>
      <c r="E11" s="1366"/>
      <c r="F11" s="1366"/>
      <c r="G11" s="1366"/>
      <c r="H11" s="1366"/>
      <c r="I11" s="1366"/>
      <c r="J11" s="1366"/>
      <c r="K11" s="1366"/>
      <c r="L11" s="1366"/>
      <c r="O11" s="1064" t="s">
        <v>821</v>
      </c>
      <c r="P11" s="1063"/>
      <c r="Q11" s="1063"/>
    </row>
    <row r="12" spans="2:17" ht="16.5">
      <c r="B12" s="1366"/>
      <c r="C12" s="1366"/>
      <c r="D12" s="1366"/>
      <c r="E12" s="1366"/>
      <c r="F12" s="1366"/>
      <c r="G12" s="1366"/>
      <c r="H12" s="1366"/>
      <c r="I12" s="1366"/>
      <c r="J12" s="1366"/>
      <c r="K12" s="1366"/>
      <c r="L12" s="1366"/>
      <c r="O12" s="1063" t="s">
        <v>824</v>
      </c>
      <c r="P12" s="1063"/>
      <c r="Q12" s="1063"/>
    </row>
    <row r="13" spans="2:17" ht="16.5">
      <c r="B13" s="1366"/>
      <c r="C13" s="1366"/>
      <c r="D13" s="1366"/>
      <c r="E13" s="1366"/>
      <c r="F13" s="1366"/>
      <c r="G13" s="1366"/>
      <c r="H13" s="1366"/>
      <c r="I13" s="1366"/>
      <c r="J13" s="1366"/>
      <c r="K13" s="1366"/>
      <c r="L13" s="1366"/>
      <c r="O13" s="1063" t="s">
        <v>822</v>
      </c>
      <c r="P13" s="1063"/>
      <c r="Q13" s="1063"/>
    </row>
    <row r="14" spans="2:17" ht="16.5">
      <c r="B14" s="1366"/>
      <c r="C14" s="1366"/>
      <c r="D14" s="1366"/>
      <c r="E14" s="1366"/>
      <c r="F14" s="1366"/>
      <c r="G14" s="1366"/>
      <c r="H14" s="1366"/>
      <c r="I14" s="1366"/>
      <c r="J14" s="1366"/>
      <c r="K14" s="1366"/>
      <c r="L14" s="1366"/>
      <c r="O14" s="1063" t="s">
        <v>823</v>
      </c>
      <c r="P14" s="1063"/>
      <c r="Q14" s="1063"/>
    </row>
    <row r="15" spans="2:17" ht="16.5">
      <c r="B15" s="1366"/>
      <c r="C15" s="1366"/>
      <c r="D15" s="1366"/>
      <c r="E15" s="1366"/>
      <c r="F15" s="1366"/>
      <c r="G15" s="1366"/>
      <c r="H15" s="1366"/>
      <c r="I15" s="1366"/>
      <c r="J15" s="1366"/>
      <c r="K15" s="1366"/>
      <c r="L15" s="1366"/>
      <c r="O15" s="1063"/>
      <c r="P15" s="1063"/>
      <c r="Q15" s="1063"/>
    </row>
    <row r="16" spans="2:17" ht="16.5">
      <c r="B16" s="1366"/>
      <c r="C16" s="1366"/>
      <c r="D16" s="1366"/>
      <c r="E16" s="1366"/>
      <c r="F16" s="1366"/>
      <c r="G16" s="1366"/>
      <c r="H16" s="1366"/>
      <c r="I16" s="1366"/>
      <c r="J16" s="1366"/>
      <c r="K16" s="1366"/>
      <c r="L16" s="1366"/>
      <c r="O16" s="1064" t="s">
        <v>817</v>
      </c>
      <c r="P16" s="1063"/>
      <c r="Q16" s="1063"/>
    </row>
    <row r="17" spans="2:17" ht="5.0999999999999996" customHeight="1">
      <c r="B17" s="1366"/>
      <c r="C17" s="1366"/>
      <c r="D17" s="1366"/>
      <c r="E17" s="1366"/>
      <c r="F17" s="1366"/>
      <c r="G17" s="1366"/>
      <c r="H17" s="1366"/>
      <c r="I17" s="1366"/>
      <c r="J17" s="1366"/>
      <c r="K17" s="1366"/>
      <c r="L17" s="1366"/>
      <c r="O17" s="1063"/>
      <c r="P17" s="1063"/>
      <c r="Q17" s="1063"/>
    </row>
    <row r="18" spans="2:17" ht="15" customHeight="1">
      <c r="B18" s="1370" t="s">
        <v>603</v>
      </c>
      <c r="C18" s="1370"/>
      <c r="D18" s="1370"/>
      <c r="E18" s="1370"/>
      <c r="F18" s="1370"/>
      <c r="G18" s="1370"/>
      <c r="H18" s="1370"/>
      <c r="I18" s="1370"/>
      <c r="J18" s="1370"/>
      <c r="K18" s="1370"/>
      <c r="L18" s="1370"/>
      <c r="O18" s="1063" t="s">
        <v>825</v>
      </c>
      <c r="P18" s="1063"/>
      <c r="Q18" s="1063"/>
    </row>
    <row r="19" spans="2:17" ht="16.5">
      <c r="B19" s="1370"/>
      <c r="C19" s="1370"/>
      <c r="D19" s="1370"/>
      <c r="E19" s="1370"/>
      <c r="F19" s="1370"/>
      <c r="G19" s="1370"/>
      <c r="H19" s="1370"/>
      <c r="I19" s="1370"/>
      <c r="J19" s="1370"/>
      <c r="K19" s="1370"/>
      <c r="L19" s="1370"/>
      <c r="O19" s="1063" t="s">
        <v>826</v>
      </c>
      <c r="P19" s="1063"/>
      <c r="Q19" s="1063"/>
    </row>
    <row r="20" spans="2:17" ht="16.5">
      <c r="B20" s="1370"/>
      <c r="C20" s="1370"/>
      <c r="D20" s="1370"/>
      <c r="E20" s="1370"/>
      <c r="F20" s="1370"/>
      <c r="G20" s="1370"/>
      <c r="H20" s="1370"/>
      <c r="I20" s="1370"/>
      <c r="J20" s="1370"/>
      <c r="K20" s="1370"/>
      <c r="L20" s="1370"/>
      <c r="O20" s="1063" t="s">
        <v>827</v>
      </c>
      <c r="P20" s="1063"/>
      <c r="Q20" s="1063"/>
    </row>
    <row r="21" spans="2:17" ht="15" customHeight="1">
      <c r="B21" s="1370"/>
      <c r="C21" s="1370"/>
      <c r="D21" s="1370"/>
      <c r="E21" s="1370"/>
      <c r="F21" s="1370"/>
      <c r="G21" s="1370"/>
      <c r="H21" s="1370"/>
      <c r="I21" s="1370"/>
      <c r="J21" s="1370"/>
      <c r="K21" s="1370"/>
      <c r="L21" s="1370"/>
      <c r="O21" s="1063" t="s">
        <v>828</v>
      </c>
      <c r="P21" s="1063"/>
      <c r="Q21" s="1063"/>
    </row>
    <row r="22" spans="2:17" ht="16.5">
      <c r="B22" s="1370"/>
      <c r="C22" s="1370"/>
      <c r="D22" s="1370"/>
      <c r="E22" s="1370"/>
      <c r="F22" s="1370"/>
      <c r="G22" s="1370"/>
      <c r="H22" s="1370"/>
      <c r="I22" s="1370"/>
      <c r="J22" s="1370"/>
      <c r="K22" s="1370"/>
      <c r="L22" s="1370"/>
      <c r="O22" s="1063" t="s">
        <v>818</v>
      </c>
      <c r="P22" s="1063"/>
      <c r="Q22" s="1063"/>
    </row>
    <row r="23" spans="2:17" ht="16.5">
      <c r="B23" s="1370"/>
      <c r="C23" s="1370"/>
      <c r="D23" s="1370"/>
      <c r="E23" s="1370"/>
      <c r="F23" s="1370"/>
      <c r="G23" s="1370"/>
      <c r="H23" s="1370"/>
      <c r="I23" s="1370"/>
      <c r="J23" s="1370"/>
      <c r="K23" s="1370"/>
      <c r="L23" s="1370"/>
      <c r="O23" s="1063" t="s">
        <v>819</v>
      </c>
      <c r="P23" s="1063"/>
      <c r="Q23" s="1063"/>
    </row>
    <row r="24" spans="2:17" ht="16.5">
      <c r="B24" s="1370"/>
      <c r="C24" s="1370"/>
      <c r="D24" s="1370"/>
      <c r="E24" s="1370"/>
      <c r="F24" s="1370"/>
      <c r="G24" s="1370"/>
      <c r="H24" s="1370"/>
      <c r="I24" s="1370"/>
      <c r="J24" s="1370"/>
      <c r="K24" s="1370"/>
      <c r="L24" s="1370"/>
      <c r="O24" s="1063" t="s">
        <v>820</v>
      </c>
      <c r="P24" s="1063"/>
      <c r="Q24" s="1063"/>
    </row>
    <row r="25" spans="2:17" ht="5.0999999999999996" customHeight="1">
      <c r="B25" s="112"/>
      <c r="C25" s="112"/>
      <c r="D25" s="112"/>
      <c r="E25" s="112"/>
      <c r="F25" s="112"/>
      <c r="G25" s="112"/>
      <c r="H25" s="865"/>
      <c r="I25" s="112"/>
      <c r="O25" s="1063"/>
      <c r="P25" s="1063"/>
      <c r="Q25" s="1063"/>
    </row>
    <row r="26" spans="2:17" ht="15" customHeight="1">
      <c r="B26" s="1367" t="s">
        <v>2179</v>
      </c>
      <c r="C26" s="1367"/>
      <c r="D26" s="1367"/>
      <c r="E26" s="1367"/>
      <c r="F26" s="1367"/>
      <c r="G26" s="1367"/>
      <c r="H26" s="1367"/>
      <c r="I26" s="1367"/>
      <c r="J26" s="1367"/>
      <c r="K26" s="1367"/>
      <c r="L26" s="1367"/>
      <c r="O26" s="1063" t="s">
        <v>829</v>
      </c>
      <c r="P26" s="1063"/>
      <c r="Q26" s="1063"/>
    </row>
    <row r="27" spans="2:17" ht="16.5">
      <c r="B27" s="1367"/>
      <c r="C27" s="1367"/>
      <c r="D27" s="1367"/>
      <c r="E27" s="1367"/>
      <c r="F27" s="1367"/>
      <c r="G27" s="1367"/>
      <c r="H27" s="1367"/>
      <c r="I27" s="1367"/>
      <c r="J27" s="1367"/>
      <c r="K27" s="1367"/>
      <c r="L27" s="1367"/>
      <c r="O27" s="1063" t="s">
        <v>858</v>
      </c>
      <c r="P27" s="1063"/>
      <c r="Q27" s="1063"/>
    </row>
    <row r="28" spans="2:17" ht="16.5">
      <c r="B28" s="1367"/>
      <c r="C28" s="1367"/>
      <c r="D28" s="1367"/>
      <c r="E28" s="1367"/>
      <c r="F28" s="1367"/>
      <c r="G28" s="1367"/>
      <c r="H28" s="1367"/>
      <c r="I28" s="1367"/>
      <c r="J28" s="1367"/>
      <c r="K28" s="1367"/>
      <c r="L28" s="1367"/>
      <c r="O28" s="1063" t="s">
        <v>859</v>
      </c>
      <c r="P28" s="1063"/>
      <c r="Q28" s="1063"/>
    </row>
    <row r="29" spans="2:17">
      <c r="B29" s="1367"/>
      <c r="C29" s="1367"/>
      <c r="D29" s="1367"/>
      <c r="E29" s="1367"/>
      <c r="F29" s="1367"/>
      <c r="G29" s="1367"/>
      <c r="H29" s="1367"/>
      <c r="I29" s="1367"/>
      <c r="J29" s="1367"/>
      <c r="K29" s="1367"/>
      <c r="L29" s="1367"/>
    </row>
    <row r="30" spans="2:17" ht="5.0999999999999996" customHeight="1">
      <c r="B30" s="853"/>
      <c r="C30" s="853"/>
      <c r="D30" s="853"/>
      <c r="E30" s="853"/>
      <c r="F30" s="853"/>
      <c r="G30" s="853"/>
      <c r="H30" s="704"/>
      <c r="I30" s="853"/>
    </row>
    <row r="31" spans="2:17" ht="15" customHeight="1">
      <c r="B31" s="1368" t="s">
        <v>605</v>
      </c>
      <c r="C31" s="1369"/>
      <c r="D31" s="1369"/>
      <c r="E31" s="1369"/>
      <c r="F31" s="1369"/>
      <c r="G31" s="1369"/>
      <c r="H31" s="1369"/>
      <c r="I31" s="1369"/>
      <c r="J31" s="1369"/>
      <c r="K31" s="1369"/>
      <c r="L31" s="1369"/>
    </row>
    <row r="32" spans="2:17" ht="15" customHeight="1">
      <c r="B32" s="1369"/>
      <c r="C32" s="1369"/>
      <c r="D32" s="1369"/>
      <c r="E32" s="1369"/>
      <c r="F32" s="1369"/>
      <c r="G32" s="1369"/>
      <c r="H32" s="1369"/>
      <c r="I32" s="1369"/>
      <c r="J32" s="1369"/>
      <c r="K32" s="1369"/>
      <c r="L32" s="1369"/>
    </row>
    <row r="33" spans="2:12" ht="7.5" customHeight="1">
      <c r="B33" s="1369"/>
      <c r="C33" s="1369"/>
      <c r="D33" s="1369"/>
      <c r="E33" s="1369"/>
      <c r="F33" s="1369"/>
      <c r="G33" s="1369"/>
      <c r="H33" s="1369"/>
      <c r="I33" s="1369"/>
      <c r="J33" s="1369"/>
      <c r="K33" s="1369"/>
      <c r="L33" s="1369"/>
    </row>
    <row r="34" spans="2:12" ht="15" customHeight="1">
      <c r="B34" s="1027"/>
      <c r="C34" s="1027"/>
      <c r="D34" s="1027"/>
      <c r="E34" s="1027"/>
      <c r="F34" s="1027"/>
      <c r="G34" s="1027"/>
      <c r="H34" s="1027"/>
      <c r="I34" s="1027"/>
      <c r="J34" s="1027"/>
      <c r="K34" s="1027"/>
      <c r="L34" s="1027"/>
    </row>
    <row r="35" spans="2:12" ht="15" customHeight="1">
      <c r="B35" s="1371" t="s">
        <v>2182</v>
      </c>
      <c r="C35" s="1371"/>
      <c r="D35" s="1371"/>
      <c r="E35" s="1371"/>
      <c r="F35" s="1371"/>
      <c r="G35" s="1371"/>
      <c r="H35" s="1371"/>
      <c r="I35" s="1371"/>
      <c r="J35" s="1371"/>
      <c r="K35" s="1371"/>
      <c r="L35" s="1371"/>
    </row>
    <row r="36" spans="2:12" ht="15" customHeight="1">
      <c r="B36" s="1371"/>
      <c r="C36" s="1371"/>
      <c r="D36" s="1371"/>
      <c r="E36" s="1371"/>
      <c r="F36" s="1371"/>
      <c r="G36" s="1371"/>
      <c r="H36" s="1371"/>
      <c r="I36" s="1371"/>
      <c r="J36" s="1371"/>
      <c r="K36" s="1371"/>
      <c r="L36" s="1371"/>
    </row>
    <row r="37" spans="2:12" ht="15" customHeight="1" thickBot="1">
      <c r="B37" s="113"/>
      <c r="C37" s="113"/>
      <c r="D37" s="113"/>
      <c r="E37" s="113"/>
      <c r="F37" s="113"/>
      <c r="G37" s="113"/>
      <c r="H37" s="113"/>
      <c r="I37" s="113"/>
    </row>
    <row r="38" spans="2:12" ht="5.0999999999999996" customHeight="1">
      <c r="B38" s="2100"/>
      <c r="C38" s="2101"/>
      <c r="D38" s="2101"/>
      <c r="E38" s="2101"/>
      <c r="F38" s="2101"/>
      <c r="G38" s="2101"/>
      <c r="H38" s="2101"/>
      <c r="I38" s="2101"/>
      <c r="J38" s="2102"/>
      <c r="K38" s="2102"/>
      <c r="L38" s="2103"/>
    </row>
    <row r="39" spans="2:12" ht="20.100000000000001" customHeight="1">
      <c r="B39" s="2104"/>
      <c r="C39" s="114"/>
      <c r="D39" s="114"/>
      <c r="E39" s="2097" t="s">
        <v>379</v>
      </c>
      <c r="F39" s="2097"/>
      <c r="G39" s="2097"/>
      <c r="H39" s="2097"/>
      <c r="I39" s="114"/>
      <c r="J39" s="114"/>
      <c r="K39" s="114"/>
      <c r="L39" s="2105"/>
    </row>
    <row r="40" spans="2:12" ht="5.0999999999999996" customHeight="1">
      <c r="B40" s="2106"/>
      <c r="C40" s="115"/>
      <c r="D40" s="115"/>
      <c r="E40" s="115"/>
      <c r="F40" s="115"/>
      <c r="G40" s="115"/>
      <c r="H40" s="115"/>
      <c r="I40" s="115"/>
      <c r="J40" s="115"/>
      <c r="K40" s="115"/>
      <c r="L40" s="2107"/>
    </row>
    <row r="41" spans="2:12" ht="15" customHeight="1">
      <c r="B41" s="2106"/>
      <c r="C41" s="2098" t="s">
        <v>2180</v>
      </c>
      <c r="D41" s="2098"/>
      <c r="E41" s="2098"/>
      <c r="F41" s="2099"/>
      <c r="G41" s="2099"/>
      <c r="H41" s="2098" t="s">
        <v>2181</v>
      </c>
      <c r="I41" s="2098"/>
      <c r="J41" s="2098"/>
      <c r="K41" s="2098"/>
      <c r="L41" s="2107"/>
    </row>
    <row r="42" spans="2:12" ht="9.9499999999999993" customHeight="1">
      <c r="B42" s="2106"/>
      <c r="C42" s="115"/>
      <c r="D42" s="115"/>
      <c r="E42" s="115"/>
      <c r="F42" s="115"/>
      <c r="G42" s="115"/>
      <c r="H42" s="115"/>
      <c r="I42" s="115"/>
      <c r="J42" s="115"/>
      <c r="K42" s="115"/>
      <c r="L42" s="2107"/>
    </row>
    <row r="43" spans="2:12" ht="15" customHeight="1">
      <c r="B43" s="2108"/>
      <c r="C43" s="542"/>
      <c r="D43" s="542"/>
      <c r="E43" s="118"/>
      <c r="F43" s="117"/>
      <c r="G43" s="117"/>
      <c r="H43" s="542"/>
      <c r="I43" s="542"/>
      <c r="J43" s="116"/>
      <c r="K43" s="116"/>
      <c r="L43" s="2109"/>
    </row>
    <row r="44" spans="2:12" ht="15" customHeight="1">
      <c r="B44" s="2110"/>
      <c r="C44" s="543"/>
      <c r="D44" s="543"/>
      <c r="E44" s="543"/>
      <c r="F44" s="118"/>
      <c r="G44" s="118"/>
      <c r="H44" s="118"/>
      <c r="I44" s="118"/>
      <c r="J44" s="116"/>
      <c r="K44" s="116"/>
      <c r="L44" s="2109"/>
    </row>
    <row r="45" spans="2:12" ht="15" customHeight="1">
      <c r="B45" s="2110"/>
      <c r="C45" s="543"/>
      <c r="D45" s="543"/>
      <c r="E45" s="543"/>
      <c r="F45" s="119"/>
      <c r="G45" s="119"/>
      <c r="H45" s="119"/>
      <c r="I45" s="119"/>
      <c r="J45" s="116"/>
      <c r="K45" s="116"/>
      <c r="L45" s="2109"/>
    </row>
    <row r="46" spans="2:12" ht="15" customHeight="1">
      <c r="B46" s="2110"/>
      <c r="C46" s="543"/>
      <c r="D46" s="543"/>
      <c r="E46" s="543"/>
      <c r="F46" s="120"/>
      <c r="G46" s="120"/>
      <c r="H46" s="120"/>
      <c r="I46" s="120"/>
      <c r="J46" s="116"/>
      <c r="K46" s="116"/>
      <c r="L46" s="2109"/>
    </row>
    <row r="47" spans="2:12" ht="15" customHeight="1">
      <c r="B47" s="2111"/>
      <c r="C47" s="118"/>
      <c r="D47" s="118"/>
      <c r="E47" s="118"/>
      <c r="F47" s="120"/>
      <c r="G47" s="120"/>
      <c r="H47" s="120"/>
      <c r="I47" s="120"/>
      <c r="J47" s="116"/>
      <c r="K47" s="116"/>
      <c r="L47" s="2109"/>
    </row>
    <row r="48" spans="2:12" ht="15" customHeight="1">
      <c r="B48" s="2111"/>
      <c r="C48" s="118"/>
      <c r="D48" s="118"/>
      <c r="E48" s="118"/>
      <c r="F48" s="120"/>
      <c r="G48" s="120"/>
      <c r="H48" s="120"/>
      <c r="I48" s="120"/>
      <c r="J48" s="116"/>
      <c r="K48" s="116"/>
      <c r="L48" s="2109"/>
    </row>
    <row r="49" spans="2:12" ht="15" customHeight="1">
      <c r="B49" s="2111"/>
      <c r="C49" s="118"/>
      <c r="D49" s="118"/>
      <c r="E49" s="118"/>
      <c r="F49" s="120"/>
      <c r="G49" s="120"/>
      <c r="H49" s="120"/>
      <c r="I49" s="120"/>
      <c r="J49" s="116"/>
      <c r="K49" s="116"/>
      <c r="L49" s="2109"/>
    </row>
    <row r="50" spans="2:12" ht="15" customHeight="1">
      <c r="B50" s="2112"/>
      <c r="C50" s="120"/>
      <c r="D50" s="120"/>
      <c r="E50" s="120"/>
      <c r="F50" s="120"/>
      <c r="G50" s="120"/>
      <c r="H50" s="120"/>
      <c r="I50" s="120"/>
      <c r="J50" s="116"/>
      <c r="K50" s="116"/>
      <c r="L50" s="2109"/>
    </row>
    <row r="51" spans="2:12" ht="15" customHeight="1">
      <c r="B51" s="2112"/>
      <c r="C51" s="120"/>
      <c r="D51" s="120"/>
      <c r="E51" s="120"/>
      <c r="F51" s="120"/>
      <c r="G51" s="120"/>
      <c r="H51" s="120"/>
      <c r="I51" s="120"/>
      <c r="J51" s="116"/>
      <c r="K51" s="116"/>
      <c r="L51" s="2109"/>
    </row>
    <row r="52" spans="2:12" ht="15" customHeight="1">
      <c r="B52" s="2112"/>
      <c r="C52" s="120"/>
      <c r="D52" s="120"/>
      <c r="E52" s="120"/>
      <c r="F52" s="120"/>
      <c r="G52" s="120"/>
      <c r="H52" s="120"/>
      <c r="I52" s="120"/>
      <c r="J52" s="116"/>
      <c r="K52" s="116"/>
      <c r="L52" s="2109"/>
    </row>
    <row r="53" spans="2:12" ht="9.9499999999999993" customHeight="1">
      <c r="B53" s="2112"/>
      <c r="C53" s="120"/>
      <c r="D53" s="120"/>
      <c r="E53" s="120"/>
      <c r="F53" s="120"/>
      <c r="G53" s="120"/>
      <c r="H53" s="120"/>
      <c r="I53" s="120"/>
      <c r="J53" s="116"/>
      <c r="K53" s="116"/>
      <c r="L53" s="2109"/>
    </row>
    <row r="54" spans="2:12" ht="16.5">
      <c r="B54" s="2112"/>
      <c r="C54" s="120"/>
      <c r="D54" s="120"/>
      <c r="E54" s="120"/>
      <c r="F54" s="120"/>
      <c r="G54" s="120"/>
      <c r="H54" s="120"/>
      <c r="I54" s="120"/>
      <c r="J54" s="116"/>
      <c r="K54" s="116"/>
      <c r="L54" s="2109"/>
    </row>
    <row r="55" spans="2:12">
      <c r="B55" s="2113"/>
      <c r="C55" s="116"/>
      <c r="D55" s="116"/>
      <c r="E55" s="116"/>
      <c r="F55" s="116"/>
      <c r="G55" s="116"/>
      <c r="I55" s="116"/>
      <c r="J55" s="116"/>
      <c r="K55" s="116"/>
      <c r="L55" s="2109"/>
    </row>
    <row r="56" spans="2:12">
      <c r="B56" s="2113"/>
      <c r="C56" s="116"/>
      <c r="D56" s="116"/>
      <c r="E56" s="116"/>
      <c r="F56" s="116"/>
      <c r="G56" s="116"/>
      <c r="I56" s="116"/>
      <c r="J56" s="116"/>
      <c r="K56" s="116"/>
      <c r="L56" s="2109"/>
    </row>
    <row r="57" spans="2:12">
      <c r="B57" s="2113"/>
      <c r="C57" s="116"/>
      <c r="D57" s="116"/>
      <c r="E57" s="116"/>
      <c r="F57" s="116"/>
      <c r="G57" s="116"/>
      <c r="I57" s="116"/>
      <c r="J57" s="116"/>
      <c r="K57" s="116"/>
      <c r="L57" s="2109"/>
    </row>
    <row r="58" spans="2:12">
      <c r="B58" s="2113"/>
      <c r="C58" s="116"/>
      <c r="D58" s="116"/>
      <c r="E58" s="116"/>
      <c r="F58" s="116"/>
      <c r="G58" s="116"/>
      <c r="I58" s="116"/>
      <c r="J58" s="116"/>
      <c r="K58" s="116"/>
      <c r="L58" s="2109"/>
    </row>
    <row r="59" spans="2:12">
      <c r="B59" s="2113"/>
      <c r="C59" s="116"/>
      <c r="D59" s="116"/>
      <c r="E59" s="116"/>
      <c r="F59" s="116"/>
      <c r="G59" s="116"/>
      <c r="I59" s="116"/>
      <c r="J59" s="116"/>
      <c r="K59" s="116"/>
      <c r="L59" s="2109"/>
    </row>
    <row r="60" spans="2:12">
      <c r="B60" s="2113"/>
      <c r="C60" s="116"/>
      <c r="D60" s="116"/>
      <c r="E60" s="116"/>
      <c r="F60" s="116"/>
      <c r="G60" s="116"/>
      <c r="I60" s="116"/>
      <c r="J60" s="116"/>
      <c r="K60" s="116"/>
      <c r="L60" s="2109"/>
    </row>
    <row r="61" spans="2:12">
      <c r="B61" s="2113"/>
      <c r="C61" s="116"/>
      <c r="D61" s="116"/>
      <c r="E61" s="116"/>
      <c r="F61" s="116"/>
      <c r="G61" s="116"/>
      <c r="I61" s="116"/>
      <c r="J61" s="116"/>
      <c r="K61" s="116"/>
      <c r="L61" s="2109"/>
    </row>
    <row r="62" spans="2:12">
      <c r="B62" s="2113"/>
      <c r="C62" s="116"/>
      <c r="D62" s="116"/>
      <c r="E62" s="116"/>
      <c r="F62" s="116"/>
      <c r="G62" s="116"/>
      <c r="I62" s="116"/>
      <c r="J62" s="116"/>
      <c r="K62" s="116"/>
      <c r="L62" s="2109"/>
    </row>
    <row r="63" spans="2:12">
      <c r="B63" s="2113"/>
      <c r="C63" s="116"/>
      <c r="D63" s="116"/>
      <c r="E63" s="116"/>
      <c r="F63" s="116"/>
      <c r="G63" s="116"/>
      <c r="I63" s="116"/>
      <c r="J63" s="116"/>
      <c r="K63" s="116"/>
      <c r="L63" s="2109"/>
    </row>
    <row r="64" spans="2:12">
      <c r="B64" s="2113"/>
      <c r="C64" s="116"/>
      <c r="D64" s="116"/>
      <c r="E64" s="116"/>
      <c r="F64" s="116"/>
      <c r="G64" s="116"/>
      <c r="I64" s="116"/>
      <c r="J64" s="116"/>
      <c r="K64" s="116"/>
      <c r="L64" s="2109"/>
    </row>
    <row r="65" spans="2:12">
      <c r="B65" s="2113"/>
      <c r="C65" s="116"/>
      <c r="D65" s="116"/>
      <c r="E65" s="116"/>
      <c r="F65" s="116"/>
      <c r="G65" s="116"/>
      <c r="I65" s="116"/>
      <c r="J65" s="116"/>
      <c r="K65" s="116"/>
      <c r="L65" s="2109"/>
    </row>
    <row r="66" spans="2:12">
      <c r="B66" s="2113"/>
      <c r="C66" s="116"/>
      <c r="D66" s="116"/>
      <c r="E66" s="116"/>
      <c r="F66" s="116"/>
      <c r="G66" s="116"/>
      <c r="I66" s="116"/>
      <c r="J66" s="116"/>
      <c r="K66" s="116"/>
      <c r="L66" s="2109"/>
    </row>
    <row r="67" spans="2:12">
      <c r="B67" s="2113"/>
      <c r="C67" s="116"/>
      <c r="D67" s="116"/>
      <c r="E67" s="116"/>
      <c r="F67" s="116"/>
      <c r="G67" s="116"/>
      <c r="I67" s="116"/>
      <c r="J67" s="116"/>
      <c r="K67" s="116"/>
      <c r="L67" s="2109"/>
    </row>
    <row r="68" spans="2:12">
      <c r="B68" s="2113"/>
      <c r="C68" s="116"/>
      <c r="D68" s="116"/>
      <c r="E68" s="116"/>
      <c r="F68" s="116"/>
      <c r="G68" s="116"/>
      <c r="I68" s="116"/>
      <c r="J68" s="116"/>
      <c r="K68" s="116"/>
      <c r="L68" s="2109"/>
    </row>
    <row r="69" spans="2:12">
      <c r="B69" s="2113"/>
      <c r="C69" s="116"/>
      <c r="D69" s="116"/>
      <c r="E69" s="116"/>
      <c r="F69" s="116"/>
      <c r="G69" s="116"/>
      <c r="I69" s="116"/>
      <c r="J69" s="116"/>
      <c r="K69" s="116"/>
      <c r="L69" s="2109"/>
    </row>
    <row r="70" spans="2:12">
      <c r="B70" s="2113"/>
      <c r="C70" s="116"/>
      <c r="D70" s="116"/>
      <c r="E70" s="116"/>
      <c r="F70" s="116"/>
      <c r="G70" s="116"/>
      <c r="I70" s="116"/>
      <c r="J70" s="116"/>
      <c r="K70" s="116"/>
      <c r="L70" s="2109"/>
    </row>
    <row r="71" spans="2:12">
      <c r="B71" s="2113"/>
      <c r="C71" s="116"/>
      <c r="D71" s="116"/>
      <c r="E71" s="116"/>
      <c r="F71" s="116"/>
      <c r="G71" s="116"/>
      <c r="I71" s="116"/>
      <c r="J71" s="116"/>
      <c r="K71" s="116"/>
      <c r="L71" s="2109"/>
    </row>
    <row r="72" spans="2:12" ht="15.75" thickBot="1">
      <c r="B72" s="2114"/>
      <c r="C72" s="2115"/>
      <c r="D72" s="2115"/>
      <c r="E72" s="2115"/>
      <c r="F72" s="2115"/>
      <c r="G72" s="2115"/>
      <c r="H72" s="2115"/>
      <c r="I72" s="2115"/>
      <c r="J72" s="2115"/>
      <c r="K72" s="2115"/>
      <c r="L72" s="2116"/>
    </row>
  </sheetData>
  <sheetProtection algorithmName="SHA-512" hashValue="nyOAkY9QLq1mo9tG970G4GPlTMnLORGqjQImZzqqyzEEUFBxY+n/9MTuGMBGFNgdapfyz634GoQ/EfzRDme3RA==" saltValue="W1hLie/iko8zs3KA4NPCNQ==" spinCount="100000" sheet="1" objects="1" scenarios="1" selectLockedCells="1"/>
  <mergeCells count="9">
    <mergeCell ref="B7:L8"/>
    <mergeCell ref="H41:K41"/>
    <mergeCell ref="C41:E41"/>
    <mergeCell ref="E39:H39"/>
    <mergeCell ref="B11:L17"/>
    <mergeCell ref="B26:L29"/>
    <mergeCell ref="B31:L33"/>
    <mergeCell ref="B18:L24"/>
    <mergeCell ref="B35:L36"/>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3:AC1542"/>
  <sheetViews>
    <sheetView topLeftCell="A886" workbookViewId="0">
      <selection activeCell="F894" sqref="F894"/>
    </sheetView>
  </sheetViews>
  <sheetFormatPr baseColWidth="10" defaultRowHeight="15"/>
  <cols>
    <col min="2" max="2" width="14.140625" bestFit="1" customWidth="1"/>
    <col min="3" max="3" width="44" customWidth="1"/>
    <col min="4" max="4" width="77" bestFit="1" customWidth="1"/>
    <col min="5" max="5" width="2.5703125" customWidth="1"/>
    <col min="6" max="6" width="14.42578125" customWidth="1"/>
    <col min="7" max="7" width="48.42578125" customWidth="1"/>
    <col min="8" max="8" width="89.28515625" bestFit="1" customWidth="1"/>
  </cols>
  <sheetData>
    <row r="3" spans="2:16">
      <c r="B3" s="1175" t="s">
        <v>1103</v>
      </c>
      <c r="C3" s="1175" t="s">
        <v>1069</v>
      </c>
      <c r="D3" s="1174" t="s">
        <v>1522</v>
      </c>
      <c r="E3" s="1175"/>
      <c r="F3" s="1175" t="s">
        <v>1022</v>
      </c>
      <c r="G3" s="1175" t="s">
        <v>1023</v>
      </c>
      <c r="H3" s="1174" t="s">
        <v>1523</v>
      </c>
      <c r="I3" s="1178"/>
      <c r="J3" s="1178"/>
      <c r="K3" s="1178"/>
    </row>
    <row r="4" spans="2:16">
      <c r="B4" s="1175">
        <v>440000073</v>
      </c>
      <c r="C4" s="1175" t="s">
        <v>1058</v>
      </c>
      <c r="D4" s="1175" t="s">
        <v>1974</v>
      </c>
      <c r="F4" s="1175">
        <v>440000107</v>
      </c>
      <c r="G4" s="1175" t="s">
        <v>1085</v>
      </c>
      <c r="H4" s="1178" t="s">
        <v>1524</v>
      </c>
      <c r="I4" s="1178"/>
      <c r="J4" s="1178"/>
      <c r="K4" s="1178"/>
    </row>
    <row r="5" spans="2:16">
      <c r="B5" s="1175">
        <v>440000073</v>
      </c>
      <c r="C5" s="1175" t="s">
        <v>1058</v>
      </c>
      <c r="D5" s="1175" t="s">
        <v>1974</v>
      </c>
      <c r="F5" s="1175">
        <v>440000107</v>
      </c>
      <c r="G5" s="1175" t="s">
        <v>1085</v>
      </c>
      <c r="H5" s="1178" t="s">
        <v>1524</v>
      </c>
      <c r="I5" s="1178"/>
      <c r="J5" s="1178"/>
      <c r="K5" s="1178"/>
    </row>
    <row r="6" spans="2:16">
      <c r="B6" s="1175">
        <v>440000073</v>
      </c>
      <c r="C6" s="1175" t="s">
        <v>1058</v>
      </c>
      <c r="D6" s="1175" t="s">
        <v>1974</v>
      </c>
      <c r="F6" s="1175">
        <v>440000107</v>
      </c>
      <c r="G6" s="1175" t="s">
        <v>1085</v>
      </c>
      <c r="H6" s="1178" t="s">
        <v>1524</v>
      </c>
      <c r="I6" s="1178"/>
      <c r="J6" s="1178"/>
      <c r="K6" s="1178"/>
    </row>
    <row r="7" spans="2:16">
      <c r="B7" s="1175">
        <v>440000073</v>
      </c>
      <c r="C7" s="1175" t="s">
        <v>1058</v>
      </c>
      <c r="D7" s="1175" t="s">
        <v>1974</v>
      </c>
      <c r="F7" s="1175">
        <v>440000107</v>
      </c>
      <c r="G7" s="1175" t="s">
        <v>1085</v>
      </c>
      <c r="H7" s="1178" t="s">
        <v>1524</v>
      </c>
      <c r="I7" s="1178"/>
      <c r="J7" s="1178"/>
      <c r="K7" s="1178"/>
    </row>
    <row r="8" spans="2:16">
      <c r="B8" s="1175">
        <v>440000073</v>
      </c>
      <c r="C8" s="1175" t="s">
        <v>1058</v>
      </c>
      <c r="D8" s="1175" t="s">
        <v>1974</v>
      </c>
      <c r="F8" s="1175">
        <v>440043164</v>
      </c>
      <c r="G8" s="1175" t="s">
        <v>1084</v>
      </c>
      <c r="H8" s="1178" t="s">
        <v>1524</v>
      </c>
      <c r="I8" s="1178"/>
      <c r="J8" s="1178"/>
      <c r="K8" s="1178"/>
    </row>
    <row r="9" spans="2:16">
      <c r="B9" s="1175">
        <v>440000073</v>
      </c>
      <c r="C9" s="1175" t="s">
        <v>1058</v>
      </c>
      <c r="D9" s="1175" t="s">
        <v>1974</v>
      </c>
      <c r="F9" s="1175">
        <v>440043164</v>
      </c>
      <c r="G9" s="1175" t="s">
        <v>1084</v>
      </c>
      <c r="H9" s="1178" t="s">
        <v>1524</v>
      </c>
      <c r="I9" s="1178"/>
      <c r="J9" s="1178"/>
      <c r="K9" s="1178"/>
      <c r="N9" s="1173"/>
      <c r="O9" s="1173"/>
      <c r="P9" s="1173"/>
    </row>
    <row r="10" spans="2:16">
      <c r="B10" s="1175">
        <v>440000156</v>
      </c>
      <c r="C10" s="1175" t="s">
        <v>1104</v>
      </c>
      <c r="D10" s="1175" t="s">
        <v>1975</v>
      </c>
      <c r="F10" s="1175">
        <v>440000206</v>
      </c>
      <c r="G10" s="1175" t="s">
        <v>1105</v>
      </c>
      <c r="H10" s="1178" t="s">
        <v>1525</v>
      </c>
      <c r="I10" s="1178"/>
      <c r="J10" s="1178"/>
      <c r="K10" s="1178"/>
      <c r="N10" s="1173"/>
      <c r="O10" s="1173"/>
      <c r="P10" s="1173"/>
    </row>
    <row r="11" spans="2:16">
      <c r="B11" s="1175">
        <v>440000156</v>
      </c>
      <c r="C11" s="1175" t="s">
        <v>1104</v>
      </c>
      <c r="D11" s="1175" t="s">
        <v>1975</v>
      </c>
      <c r="F11" s="1175">
        <v>440000206</v>
      </c>
      <c r="G11" s="1175" t="s">
        <v>1105</v>
      </c>
      <c r="H11" s="1178" t="s">
        <v>1525</v>
      </c>
      <c r="I11" s="1178"/>
      <c r="J11" s="1178"/>
      <c r="K11" s="1178"/>
      <c r="N11" s="1173"/>
      <c r="O11" s="1173"/>
      <c r="P11" s="1173"/>
    </row>
    <row r="12" spans="2:16">
      <c r="B12" s="1175">
        <v>440000156</v>
      </c>
      <c r="C12" s="1175" t="s">
        <v>1104</v>
      </c>
      <c r="D12" s="1175" t="s">
        <v>1975</v>
      </c>
      <c r="F12" s="1175">
        <v>440034726</v>
      </c>
      <c r="G12" s="1175" t="s">
        <v>1106</v>
      </c>
      <c r="H12" s="1178" t="s">
        <v>1525</v>
      </c>
      <c r="I12" s="1178"/>
      <c r="J12" s="1178"/>
      <c r="K12" s="1178"/>
      <c r="N12" s="1173"/>
      <c r="O12" s="1173"/>
      <c r="P12" s="1173"/>
    </row>
    <row r="13" spans="2:16">
      <c r="B13" s="1175">
        <v>440000156</v>
      </c>
      <c r="C13" s="1175" t="s">
        <v>1104</v>
      </c>
      <c r="D13" s="1175" t="s">
        <v>1975</v>
      </c>
      <c r="F13" s="1175">
        <v>440047785</v>
      </c>
      <c r="G13" s="1175" t="s">
        <v>1107</v>
      </c>
      <c r="H13" s="1178" t="s">
        <v>1525</v>
      </c>
      <c r="I13" s="1178"/>
      <c r="J13" s="1178"/>
      <c r="K13" s="1178"/>
    </row>
    <row r="14" spans="2:16">
      <c r="B14" s="1175">
        <v>440000156</v>
      </c>
      <c r="C14" s="1175" t="s">
        <v>1104</v>
      </c>
      <c r="D14" s="1175" t="s">
        <v>1975</v>
      </c>
      <c r="F14" s="1175">
        <v>440047785</v>
      </c>
      <c r="G14" s="1175" t="s">
        <v>1107</v>
      </c>
      <c r="H14" s="1178" t="s">
        <v>1525</v>
      </c>
      <c r="I14" s="1178"/>
      <c r="J14" s="1178"/>
      <c r="K14" s="1178"/>
    </row>
    <row r="15" spans="2:16">
      <c r="B15" s="1175">
        <v>440000248</v>
      </c>
      <c r="C15" s="1175" t="s">
        <v>1108</v>
      </c>
      <c r="D15" s="1175" t="s">
        <v>1976</v>
      </c>
      <c r="F15" s="1175">
        <v>440011997</v>
      </c>
      <c r="G15" s="1175" t="s">
        <v>968</v>
      </c>
      <c r="H15" s="1178" t="s">
        <v>1526</v>
      </c>
      <c r="I15" s="1178"/>
      <c r="J15" s="1178"/>
      <c r="K15" s="1178"/>
    </row>
    <row r="16" spans="2:16">
      <c r="B16" s="1175">
        <v>440000248</v>
      </c>
      <c r="C16" s="1175" t="s">
        <v>1108</v>
      </c>
      <c r="D16" s="1175" t="s">
        <v>1976</v>
      </c>
      <c r="F16" s="1175">
        <v>440024677</v>
      </c>
      <c r="G16" s="1175" t="s">
        <v>973</v>
      </c>
      <c r="H16" s="1178" t="s">
        <v>1526</v>
      </c>
      <c r="I16" s="1178"/>
      <c r="J16" s="1178"/>
      <c r="K16" s="1178"/>
    </row>
    <row r="17" spans="2:11">
      <c r="B17" s="1175">
        <v>440000289</v>
      </c>
      <c r="C17" s="1175" t="s">
        <v>1044</v>
      </c>
      <c r="D17" s="1175" t="s">
        <v>1977</v>
      </c>
      <c r="F17" s="1175">
        <v>440012946</v>
      </c>
      <c r="G17" s="1175" t="s">
        <v>1109</v>
      </c>
      <c r="H17" s="1178" t="s">
        <v>1527</v>
      </c>
      <c r="I17" s="1178"/>
      <c r="J17" s="1178"/>
      <c r="K17" s="1178"/>
    </row>
    <row r="18" spans="2:11">
      <c r="B18" s="1175">
        <v>440000966</v>
      </c>
      <c r="C18" s="1175" t="s">
        <v>959</v>
      </c>
      <c r="D18" s="1175" t="s">
        <v>1978</v>
      </c>
      <c r="F18" s="1175">
        <v>440024008</v>
      </c>
      <c r="G18" s="1175" t="s">
        <v>1110</v>
      </c>
      <c r="H18" s="1178" t="s">
        <v>1528</v>
      </c>
      <c r="I18" s="1178"/>
      <c r="J18" s="1178"/>
      <c r="K18" s="1178"/>
    </row>
    <row r="19" spans="2:11">
      <c r="B19" s="1175">
        <v>440000966</v>
      </c>
      <c r="C19" s="1175" t="s">
        <v>959</v>
      </c>
      <c r="D19" s="1175" t="s">
        <v>1978</v>
      </c>
      <c r="F19" s="1175">
        <v>440024008</v>
      </c>
      <c r="G19" s="1175" t="s">
        <v>1110</v>
      </c>
      <c r="H19" s="1178" t="s">
        <v>1528</v>
      </c>
      <c r="I19" s="1178"/>
      <c r="J19" s="1178"/>
      <c r="K19" s="1178"/>
    </row>
    <row r="20" spans="2:11">
      <c r="B20" s="1175">
        <v>440000966</v>
      </c>
      <c r="C20" s="1175" t="s">
        <v>959</v>
      </c>
      <c r="D20" s="1175" t="s">
        <v>1978</v>
      </c>
      <c r="F20" s="1175">
        <v>440024008</v>
      </c>
      <c r="G20" s="1175" t="s">
        <v>1110</v>
      </c>
      <c r="H20" s="1178" t="s">
        <v>1528</v>
      </c>
      <c r="I20" s="1178"/>
      <c r="J20" s="1178"/>
      <c r="K20" s="1178"/>
    </row>
    <row r="21" spans="2:11">
      <c r="B21" s="1175">
        <v>440000966</v>
      </c>
      <c r="C21" s="1175" t="s">
        <v>959</v>
      </c>
      <c r="D21" s="1175" t="s">
        <v>1978</v>
      </c>
      <c r="F21" s="1175">
        <v>440024586</v>
      </c>
      <c r="G21" s="1175" t="s">
        <v>1111</v>
      </c>
      <c r="H21" s="1178" t="s">
        <v>1529</v>
      </c>
      <c r="I21" s="1178"/>
      <c r="J21" s="1178"/>
      <c r="K21" s="1178"/>
    </row>
    <row r="22" spans="2:11">
      <c r="B22" s="1175">
        <v>440000966</v>
      </c>
      <c r="C22" s="1175" t="s">
        <v>959</v>
      </c>
      <c r="D22" s="1175" t="s">
        <v>1978</v>
      </c>
      <c r="F22" s="1175">
        <v>440024586</v>
      </c>
      <c r="G22" s="1175" t="s">
        <v>1111</v>
      </c>
      <c r="H22" s="1178" t="s">
        <v>1529</v>
      </c>
      <c r="I22" s="1178"/>
      <c r="J22" s="1178"/>
      <c r="K22" s="1178"/>
    </row>
    <row r="23" spans="2:11">
      <c r="B23" s="1175">
        <v>440000966</v>
      </c>
      <c r="C23" s="1175" t="s">
        <v>959</v>
      </c>
      <c r="D23" s="1175" t="s">
        <v>1978</v>
      </c>
      <c r="F23" s="1175">
        <v>440032951</v>
      </c>
      <c r="G23" s="1175" t="s">
        <v>1112</v>
      </c>
      <c r="H23" s="1178" t="s">
        <v>1530</v>
      </c>
      <c r="I23" s="1178"/>
      <c r="J23" s="1178"/>
      <c r="K23" s="1178"/>
    </row>
    <row r="24" spans="2:11">
      <c r="B24" s="1175">
        <v>440000966</v>
      </c>
      <c r="C24" s="1175" t="s">
        <v>959</v>
      </c>
      <c r="D24" s="1175" t="s">
        <v>1978</v>
      </c>
      <c r="F24" s="1175">
        <v>440032951</v>
      </c>
      <c r="G24" s="1175" t="s">
        <v>1112</v>
      </c>
      <c r="H24" s="1178" t="s">
        <v>1530</v>
      </c>
      <c r="I24" s="1178"/>
      <c r="J24" s="1178"/>
      <c r="K24" s="1178"/>
    </row>
    <row r="25" spans="2:11">
      <c r="B25" s="1175">
        <v>440000966</v>
      </c>
      <c r="C25" s="1175" t="s">
        <v>959</v>
      </c>
      <c r="D25" s="1175" t="s">
        <v>1978</v>
      </c>
      <c r="F25" s="1175">
        <v>440033827</v>
      </c>
      <c r="G25" s="1175" t="s">
        <v>1113</v>
      </c>
      <c r="H25" s="1178" t="s">
        <v>1531</v>
      </c>
      <c r="I25" s="1178"/>
      <c r="J25" s="1178"/>
      <c r="K25" s="1178"/>
    </row>
    <row r="26" spans="2:11">
      <c r="B26" s="1175">
        <v>440000966</v>
      </c>
      <c r="C26" s="1175" t="s">
        <v>959</v>
      </c>
      <c r="D26" s="1175" t="s">
        <v>1978</v>
      </c>
      <c r="F26" s="1175">
        <v>440033827</v>
      </c>
      <c r="G26" s="1175" t="s">
        <v>1113</v>
      </c>
      <c r="H26" s="1178" t="s">
        <v>1531</v>
      </c>
      <c r="I26" s="1178"/>
      <c r="J26" s="1178"/>
      <c r="K26" s="1178"/>
    </row>
    <row r="27" spans="2:11">
      <c r="B27" s="1175">
        <v>440000966</v>
      </c>
      <c r="C27" s="1175" t="s">
        <v>959</v>
      </c>
      <c r="D27" s="1175" t="s">
        <v>1978</v>
      </c>
      <c r="F27" s="1175">
        <v>440035087</v>
      </c>
      <c r="G27" s="1175" t="s">
        <v>1114</v>
      </c>
      <c r="H27" s="1178" t="s">
        <v>1532</v>
      </c>
      <c r="I27" s="1178"/>
      <c r="J27" s="1178"/>
      <c r="K27" s="1178"/>
    </row>
    <row r="28" spans="2:11">
      <c r="B28" s="1175">
        <v>440000966</v>
      </c>
      <c r="C28" s="1175" t="s">
        <v>959</v>
      </c>
      <c r="D28" s="1175" t="s">
        <v>1978</v>
      </c>
      <c r="F28" s="1175">
        <v>440035087</v>
      </c>
      <c r="G28" s="1175" t="s">
        <v>1114</v>
      </c>
      <c r="H28" s="1178" t="s">
        <v>1532</v>
      </c>
      <c r="I28" s="1178"/>
      <c r="J28" s="1178"/>
      <c r="K28" s="1178"/>
    </row>
    <row r="29" spans="2:11">
      <c r="B29" s="1175">
        <v>440000966</v>
      </c>
      <c r="C29" s="1175" t="s">
        <v>959</v>
      </c>
      <c r="D29" s="1175" t="s">
        <v>1978</v>
      </c>
      <c r="F29" s="1175">
        <v>440049278</v>
      </c>
      <c r="G29" s="1175" t="s">
        <v>1115</v>
      </c>
      <c r="H29" s="1178" t="s">
        <v>1533</v>
      </c>
      <c r="I29" s="1178"/>
      <c r="J29" s="1178"/>
      <c r="K29" s="1178"/>
    </row>
    <row r="30" spans="2:11">
      <c r="B30" s="1175">
        <v>440000966</v>
      </c>
      <c r="C30" s="1175" t="s">
        <v>959</v>
      </c>
      <c r="D30" s="1175" t="s">
        <v>1978</v>
      </c>
      <c r="F30" s="1175">
        <v>440050300</v>
      </c>
      <c r="G30" s="1175" t="s">
        <v>1116</v>
      </c>
      <c r="H30" s="1178" t="s">
        <v>1534</v>
      </c>
      <c r="I30" s="1178"/>
      <c r="J30" s="1178"/>
      <c r="K30" s="1178"/>
    </row>
    <row r="31" spans="2:11">
      <c r="B31" s="1175">
        <v>440000966</v>
      </c>
      <c r="C31" s="1175" t="s">
        <v>959</v>
      </c>
      <c r="D31" s="1175" t="s">
        <v>1978</v>
      </c>
      <c r="F31" s="1175">
        <v>440050300</v>
      </c>
      <c r="G31" s="1175" t="s">
        <v>1116</v>
      </c>
      <c r="H31" s="1178" t="s">
        <v>1534</v>
      </c>
      <c r="I31" s="1178"/>
      <c r="J31" s="1178"/>
      <c r="K31" s="1178"/>
    </row>
    <row r="32" spans="2:11">
      <c r="B32" s="1175">
        <v>440000966</v>
      </c>
      <c r="C32" s="1175" t="s">
        <v>959</v>
      </c>
      <c r="D32" s="1175" t="s">
        <v>1978</v>
      </c>
      <c r="F32" s="1175">
        <v>440050516</v>
      </c>
      <c r="G32" s="1175" t="s">
        <v>1110</v>
      </c>
      <c r="H32" s="1178" t="s">
        <v>1535</v>
      </c>
      <c r="I32" s="1178"/>
      <c r="J32" s="1178"/>
      <c r="K32" s="1178"/>
    </row>
    <row r="33" spans="2:11">
      <c r="B33" s="1175">
        <v>440000966</v>
      </c>
      <c r="C33" s="1175" t="s">
        <v>959</v>
      </c>
      <c r="D33" s="1175" t="s">
        <v>1978</v>
      </c>
      <c r="F33" s="1175">
        <v>440050516</v>
      </c>
      <c r="G33" s="1175" t="s">
        <v>1110</v>
      </c>
      <c r="H33" s="1178" t="s">
        <v>1535</v>
      </c>
      <c r="I33" s="1178"/>
      <c r="J33" s="1178"/>
      <c r="K33" s="1178"/>
    </row>
    <row r="34" spans="2:11">
      <c r="B34" s="1175">
        <v>440000966</v>
      </c>
      <c r="C34" s="1175" t="s">
        <v>959</v>
      </c>
      <c r="D34" s="1175" t="s">
        <v>1978</v>
      </c>
      <c r="F34" s="1175">
        <v>440052306</v>
      </c>
      <c r="G34" s="1175" t="s">
        <v>931</v>
      </c>
      <c r="H34" s="1178" t="s">
        <v>1528</v>
      </c>
      <c r="I34" s="1178"/>
      <c r="J34" s="1178"/>
      <c r="K34" s="1178"/>
    </row>
    <row r="35" spans="2:11">
      <c r="B35" s="1175">
        <v>440001352</v>
      </c>
      <c r="C35" s="1175" t="s">
        <v>926</v>
      </c>
      <c r="D35" s="1175" t="s">
        <v>1979</v>
      </c>
      <c r="F35" s="1175">
        <v>440001105</v>
      </c>
      <c r="G35" s="1175" t="s">
        <v>1117</v>
      </c>
      <c r="H35" s="1178" t="s">
        <v>1536</v>
      </c>
      <c r="I35" s="1178"/>
      <c r="J35" s="1178"/>
      <c r="K35" s="1178"/>
    </row>
    <row r="36" spans="2:11">
      <c r="B36" s="1175">
        <v>440001352</v>
      </c>
      <c r="C36" s="1175" t="s">
        <v>926</v>
      </c>
      <c r="D36" s="1175" t="s">
        <v>1979</v>
      </c>
      <c r="F36" s="1175">
        <v>440001105</v>
      </c>
      <c r="G36" s="1175" t="s">
        <v>1117</v>
      </c>
      <c r="H36" s="1178" t="s">
        <v>1536</v>
      </c>
      <c r="I36" s="1178"/>
      <c r="J36" s="1178"/>
      <c r="K36" s="1178"/>
    </row>
    <row r="37" spans="2:11">
      <c r="B37" s="1175">
        <v>440001352</v>
      </c>
      <c r="C37" s="1175" t="s">
        <v>926</v>
      </c>
      <c r="D37" s="1175" t="s">
        <v>1979</v>
      </c>
      <c r="F37" s="1175">
        <v>440001105</v>
      </c>
      <c r="G37" s="1175" t="s">
        <v>1117</v>
      </c>
      <c r="H37" s="1178" t="s">
        <v>1536</v>
      </c>
      <c r="I37" s="1178"/>
      <c r="J37" s="1178"/>
      <c r="K37" s="1178"/>
    </row>
    <row r="38" spans="2:11">
      <c r="B38" s="1175">
        <v>440001352</v>
      </c>
      <c r="C38" s="1175" t="s">
        <v>926</v>
      </c>
      <c r="D38" s="1175" t="s">
        <v>1979</v>
      </c>
      <c r="F38" s="1175">
        <v>440030476</v>
      </c>
      <c r="G38" s="1175" t="s">
        <v>1118</v>
      </c>
      <c r="H38" s="1178" t="s">
        <v>1537</v>
      </c>
      <c r="I38" s="1178"/>
      <c r="J38" s="1178"/>
      <c r="K38" s="1178"/>
    </row>
    <row r="39" spans="2:11">
      <c r="B39" s="1175">
        <v>440001352</v>
      </c>
      <c r="C39" s="1175" t="s">
        <v>926</v>
      </c>
      <c r="D39" s="1175" t="s">
        <v>1979</v>
      </c>
      <c r="F39" s="1175">
        <v>440033249</v>
      </c>
      <c r="G39" s="1175" t="s">
        <v>928</v>
      </c>
      <c r="H39" s="1178" t="s">
        <v>1538</v>
      </c>
      <c r="I39" s="1178"/>
      <c r="J39" s="1178"/>
      <c r="K39" s="1178"/>
    </row>
    <row r="40" spans="2:11">
      <c r="B40" s="1175">
        <v>440001352</v>
      </c>
      <c r="C40" s="1175" t="s">
        <v>926</v>
      </c>
      <c r="D40" s="1175" t="s">
        <v>1979</v>
      </c>
      <c r="F40" s="1175">
        <v>440033249</v>
      </c>
      <c r="G40" s="1175" t="s">
        <v>928</v>
      </c>
      <c r="H40" s="1178" t="s">
        <v>1538</v>
      </c>
      <c r="I40" s="1178"/>
      <c r="J40" s="1178"/>
      <c r="K40" s="1178"/>
    </row>
    <row r="41" spans="2:11">
      <c r="B41" s="1175">
        <v>440001485</v>
      </c>
      <c r="C41" s="1175" t="s">
        <v>982</v>
      </c>
      <c r="D41" s="1175" t="s">
        <v>1980</v>
      </c>
      <c r="F41" s="1175">
        <v>440002343</v>
      </c>
      <c r="G41" s="1175" t="s">
        <v>1119</v>
      </c>
      <c r="H41" s="1178" t="s">
        <v>1539</v>
      </c>
      <c r="I41" s="1178"/>
      <c r="J41" s="1178"/>
      <c r="K41" s="1178"/>
    </row>
    <row r="42" spans="2:11">
      <c r="B42" s="1175">
        <v>440001485</v>
      </c>
      <c r="C42" s="1175" t="s">
        <v>982</v>
      </c>
      <c r="D42" s="1175" t="s">
        <v>1980</v>
      </c>
      <c r="F42" s="1175">
        <v>440003812</v>
      </c>
      <c r="G42" s="1175" t="s">
        <v>1120</v>
      </c>
      <c r="H42" s="1178" t="s">
        <v>1540</v>
      </c>
      <c r="I42" s="1178"/>
      <c r="J42" s="1178"/>
      <c r="K42" s="1178"/>
    </row>
    <row r="43" spans="2:11">
      <c r="B43" s="1175">
        <v>440001485</v>
      </c>
      <c r="C43" s="1175" t="s">
        <v>982</v>
      </c>
      <c r="D43" s="1175" t="s">
        <v>1980</v>
      </c>
      <c r="F43" s="1175">
        <v>440042232</v>
      </c>
      <c r="G43" s="1175" t="s">
        <v>1121</v>
      </c>
      <c r="H43" s="1178" t="s">
        <v>1540</v>
      </c>
      <c r="I43" s="1178"/>
      <c r="J43" s="1178"/>
      <c r="K43" s="1178"/>
    </row>
    <row r="44" spans="2:11">
      <c r="B44" s="1175">
        <v>440001485</v>
      </c>
      <c r="C44" s="1175" t="s">
        <v>982</v>
      </c>
      <c r="D44" s="1175" t="s">
        <v>1980</v>
      </c>
      <c r="F44" s="1175">
        <v>440046357</v>
      </c>
      <c r="G44" s="1175" t="s">
        <v>987</v>
      </c>
      <c r="H44" s="1178" t="s">
        <v>1541</v>
      </c>
      <c r="I44" s="1178"/>
      <c r="J44" s="1178"/>
      <c r="K44" s="1178"/>
    </row>
    <row r="45" spans="2:11">
      <c r="B45" s="1175">
        <v>440001485</v>
      </c>
      <c r="C45" s="1175" t="s">
        <v>982</v>
      </c>
      <c r="D45" s="1175" t="s">
        <v>1980</v>
      </c>
      <c r="F45" s="1175">
        <v>440046357</v>
      </c>
      <c r="G45" s="1175" t="s">
        <v>987</v>
      </c>
      <c r="H45" s="1178" t="s">
        <v>1541</v>
      </c>
      <c r="I45" s="1178"/>
      <c r="J45" s="1178"/>
      <c r="K45" s="1178"/>
    </row>
    <row r="46" spans="2:11">
      <c r="B46" s="1175">
        <v>440001485</v>
      </c>
      <c r="C46" s="1175" t="s">
        <v>982</v>
      </c>
      <c r="D46" s="1175" t="s">
        <v>1980</v>
      </c>
      <c r="F46" s="1175">
        <v>440049021</v>
      </c>
      <c r="G46" s="1175" t="s">
        <v>983</v>
      </c>
      <c r="H46" s="1178" t="s">
        <v>1542</v>
      </c>
      <c r="I46" s="1178"/>
      <c r="J46" s="1178"/>
      <c r="K46" s="1178"/>
    </row>
    <row r="47" spans="2:11">
      <c r="B47" s="1175">
        <v>440001485</v>
      </c>
      <c r="C47" s="1175" t="s">
        <v>982</v>
      </c>
      <c r="D47" s="1175" t="s">
        <v>1980</v>
      </c>
      <c r="F47" s="1175">
        <v>440049021</v>
      </c>
      <c r="G47" s="1175" t="s">
        <v>983</v>
      </c>
      <c r="H47" s="1178" t="s">
        <v>1542</v>
      </c>
      <c r="I47" s="1178"/>
      <c r="J47" s="1178"/>
      <c r="K47" s="1178"/>
    </row>
    <row r="48" spans="2:11">
      <c r="B48" s="1175">
        <v>440001485</v>
      </c>
      <c r="C48" s="1175" t="s">
        <v>982</v>
      </c>
      <c r="D48" s="1175" t="s">
        <v>1980</v>
      </c>
      <c r="F48" s="1175">
        <v>440049682</v>
      </c>
      <c r="G48" s="1175" t="s">
        <v>1122</v>
      </c>
      <c r="H48" s="1178" t="s">
        <v>1543</v>
      </c>
      <c r="I48" s="1178"/>
      <c r="J48" s="1178"/>
      <c r="K48" s="1178"/>
    </row>
    <row r="49" spans="2:11">
      <c r="B49" s="1175">
        <v>440002467</v>
      </c>
      <c r="C49" s="1175" t="s">
        <v>1059</v>
      </c>
      <c r="D49" s="1175" t="s">
        <v>1981</v>
      </c>
      <c r="F49" s="1175">
        <v>440003747</v>
      </c>
      <c r="G49" s="1175" t="s">
        <v>1059</v>
      </c>
      <c r="H49" s="1178" t="s">
        <v>1544</v>
      </c>
      <c r="I49" s="1178"/>
      <c r="J49" s="1178"/>
      <c r="K49" s="1178"/>
    </row>
    <row r="50" spans="2:11">
      <c r="B50" s="1175">
        <v>440002467</v>
      </c>
      <c r="C50" s="1175" t="s">
        <v>1059</v>
      </c>
      <c r="D50" s="1175" t="s">
        <v>1981</v>
      </c>
      <c r="F50" s="1175">
        <v>440003747</v>
      </c>
      <c r="G50" s="1175" t="s">
        <v>1059</v>
      </c>
      <c r="H50" s="1178" t="s">
        <v>1544</v>
      </c>
      <c r="I50" s="1178"/>
      <c r="J50" s="1178"/>
      <c r="K50" s="1178"/>
    </row>
    <row r="51" spans="2:11">
      <c r="B51" s="1175">
        <v>440002467</v>
      </c>
      <c r="C51" s="1175" t="s">
        <v>1059</v>
      </c>
      <c r="D51" s="1175" t="s">
        <v>1981</v>
      </c>
      <c r="F51" s="1175">
        <v>440003747</v>
      </c>
      <c r="G51" s="1175" t="s">
        <v>1059</v>
      </c>
      <c r="H51" s="1178" t="s">
        <v>1544</v>
      </c>
      <c r="I51" s="1178"/>
      <c r="J51" s="1178"/>
      <c r="K51" s="1178"/>
    </row>
    <row r="52" spans="2:11">
      <c r="B52" s="1175">
        <v>440002467</v>
      </c>
      <c r="C52" s="1175" t="s">
        <v>1059</v>
      </c>
      <c r="D52" s="1175" t="s">
        <v>1981</v>
      </c>
      <c r="F52" s="1175">
        <v>440012847</v>
      </c>
      <c r="G52" s="1175" t="s">
        <v>1087</v>
      </c>
      <c r="H52" s="1178" t="s">
        <v>1545</v>
      </c>
      <c r="I52" s="1178"/>
      <c r="J52" s="1178"/>
      <c r="K52" s="1178"/>
    </row>
    <row r="53" spans="2:11">
      <c r="B53" s="1175">
        <v>440002467</v>
      </c>
      <c r="C53" s="1175" t="s">
        <v>1059</v>
      </c>
      <c r="D53" s="1175" t="s">
        <v>1981</v>
      </c>
      <c r="F53" s="1175">
        <v>440036598</v>
      </c>
      <c r="G53" s="1175" t="s">
        <v>1088</v>
      </c>
      <c r="H53" s="1178" t="s">
        <v>1546</v>
      </c>
      <c r="I53" s="1178"/>
      <c r="J53" s="1178"/>
      <c r="K53" s="1178"/>
    </row>
    <row r="54" spans="2:11">
      <c r="B54" s="1175">
        <v>440002467</v>
      </c>
      <c r="C54" s="1175" t="s">
        <v>1059</v>
      </c>
      <c r="D54" s="1175" t="s">
        <v>1981</v>
      </c>
      <c r="F54" s="1175">
        <v>440039618</v>
      </c>
      <c r="G54" s="1175" t="s">
        <v>1123</v>
      </c>
      <c r="H54" s="1178" t="s">
        <v>1544</v>
      </c>
      <c r="I54" s="1178"/>
      <c r="J54" s="1178"/>
      <c r="K54" s="1178"/>
    </row>
    <row r="55" spans="2:11">
      <c r="B55" s="1175">
        <v>440002467</v>
      </c>
      <c r="C55" s="1175" t="s">
        <v>1059</v>
      </c>
      <c r="D55" s="1175" t="s">
        <v>1981</v>
      </c>
      <c r="F55" s="1175">
        <v>440052439</v>
      </c>
      <c r="G55" s="1175" t="s">
        <v>1124</v>
      </c>
      <c r="H55" s="1178" t="s">
        <v>1547</v>
      </c>
      <c r="I55" s="1178"/>
      <c r="J55" s="1178"/>
      <c r="K55" s="1178"/>
    </row>
    <row r="56" spans="2:11">
      <c r="B56" s="1175">
        <v>440004315</v>
      </c>
      <c r="C56" s="1175" t="s">
        <v>1047</v>
      </c>
      <c r="D56" s="1175" t="s">
        <v>1982</v>
      </c>
      <c r="F56" s="1175">
        <v>440012573</v>
      </c>
      <c r="G56" s="1175" t="s">
        <v>1125</v>
      </c>
      <c r="H56" s="1178" t="s">
        <v>1548</v>
      </c>
      <c r="I56" s="1178"/>
      <c r="J56" s="1178"/>
      <c r="K56" s="1178"/>
    </row>
    <row r="57" spans="2:11">
      <c r="B57" s="1175">
        <v>440004315</v>
      </c>
      <c r="C57" s="1175" t="s">
        <v>1047</v>
      </c>
      <c r="D57" s="1175" t="s">
        <v>1982</v>
      </c>
      <c r="F57" s="1175">
        <v>440040566</v>
      </c>
      <c r="G57" s="1175" t="s">
        <v>1126</v>
      </c>
      <c r="H57" s="1178" t="s">
        <v>1549</v>
      </c>
      <c r="I57" s="1178"/>
      <c r="J57" s="1178"/>
      <c r="K57" s="1178"/>
    </row>
    <row r="58" spans="2:11">
      <c r="B58" s="1175">
        <v>440004315</v>
      </c>
      <c r="C58" s="1175" t="s">
        <v>1047</v>
      </c>
      <c r="D58" s="1175" t="s">
        <v>1982</v>
      </c>
      <c r="F58" s="1175">
        <v>440040566</v>
      </c>
      <c r="G58" s="1175" t="s">
        <v>1126</v>
      </c>
      <c r="H58" s="1178" t="s">
        <v>1549</v>
      </c>
      <c r="I58" s="1178"/>
      <c r="J58" s="1178"/>
      <c r="K58" s="1178"/>
    </row>
    <row r="59" spans="2:11">
      <c r="B59" s="1175">
        <v>440004315</v>
      </c>
      <c r="C59" s="1175" t="s">
        <v>1047</v>
      </c>
      <c r="D59" s="1175" t="s">
        <v>1982</v>
      </c>
      <c r="F59" s="1175">
        <v>440044519</v>
      </c>
      <c r="G59" s="1175" t="s">
        <v>1127</v>
      </c>
      <c r="H59" s="1178" t="s">
        <v>1550</v>
      </c>
      <c r="I59" s="1178"/>
      <c r="J59" s="1178"/>
      <c r="K59" s="1178"/>
    </row>
    <row r="60" spans="2:11">
      <c r="B60" s="1175">
        <v>440004711</v>
      </c>
      <c r="C60" s="1175" t="s">
        <v>1061</v>
      </c>
      <c r="D60" s="1175" t="s">
        <v>1983</v>
      </c>
      <c r="F60" s="1175">
        <v>440017952</v>
      </c>
      <c r="G60" s="1175" t="s">
        <v>1061</v>
      </c>
      <c r="H60" s="1178" t="s">
        <v>1551</v>
      </c>
      <c r="I60" s="1178"/>
      <c r="J60" s="1178"/>
      <c r="K60" s="1178"/>
    </row>
    <row r="61" spans="2:11">
      <c r="B61" s="1175">
        <v>440004711</v>
      </c>
      <c r="C61" s="1175" t="s">
        <v>1061</v>
      </c>
      <c r="D61" s="1175" t="s">
        <v>1983</v>
      </c>
      <c r="F61" s="1175">
        <v>440017952</v>
      </c>
      <c r="G61" s="1175" t="s">
        <v>1061</v>
      </c>
      <c r="H61" s="1178" t="s">
        <v>1551</v>
      </c>
      <c r="I61" s="1178"/>
      <c r="J61" s="1178"/>
      <c r="K61" s="1178"/>
    </row>
    <row r="62" spans="2:11">
      <c r="B62" s="1175">
        <v>440006294</v>
      </c>
      <c r="C62" s="1175" t="s">
        <v>1128</v>
      </c>
      <c r="D62" s="1175" t="s">
        <v>1984</v>
      </c>
      <c r="F62" s="1175">
        <v>440049963</v>
      </c>
      <c r="G62" s="1175" t="s">
        <v>1129</v>
      </c>
      <c r="H62" s="1178" t="s">
        <v>1552</v>
      </c>
      <c r="I62" s="1178"/>
      <c r="J62" s="1178"/>
      <c r="K62" s="1178"/>
    </row>
    <row r="63" spans="2:11">
      <c r="B63" s="1175">
        <v>440006294</v>
      </c>
      <c r="C63" s="1175" t="s">
        <v>1128</v>
      </c>
      <c r="D63" s="1175" t="s">
        <v>1984</v>
      </c>
      <c r="F63" s="1175">
        <v>440049963</v>
      </c>
      <c r="G63" s="1175" t="s">
        <v>1129</v>
      </c>
      <c r="H63" s="1178" t="s">
        <v>1552</v>
      </c>
      <c r="I63" s="1178"/>
      <c r="J63" s="1178"/>
      <c r="K63" s="1178"/>
    </row>
    <row r="64" spans="2:11">
      <c r="B64" s="1175">
        <v>440011484</v>
      </c>
      <c r="C64" s="1175" t="s">
        <v>1130</v>
      </c>
      <c r="D64" s="1175" t="s">
        <v>1985</v>
      </c>
      <c r="F64" s="1175">
        <v>440033900</v>
      </c>
      <c r="G64" s="1175" t="s">
        <v>1131</v>
      </c>
      <c r="H64" s="1178" t="s">
        <v>1553</v>
      </c>
      <c r="I64" s="1178"/>
      <c r="J64" s="1178"/>
      <c r="K64" s="1178"/>
    </row>
    <row r="65" spans="2:11">
      <c r="B65" s="1175">
        <v>440011484</v>
      </c>
      <c r="C65" s="1175" t="s">
        <v>1130</v>
      </c>
      <c r="D65" s="1175" t="s">
        <v>1985</v>
      </c>
      <c r="F65" s="1175">
        <v>440033900</v>
      </c>
      <c r="G65" s="1175" t="s">
        <v>1131</v>
      </c>
      <c r="H65" s="1178" t="s">
        <v>1553</v>
      </c>
      <c r="I65" s="1178"/>
      <c r="J65" s="1178"/>
      <c r="K65" s="1178"/>
    </row>
    <row r="66" spans="2:11">
      <c r="B66" s="1175">
        <v>440018380</v>
      </c>
      <c r="C66" s="1175" t="s">
        <v>935</v>
      </c>
      <c r="D66" s="1175" t="s">
        <v>1986</v>
      </c>
      <c r="F66" s="1175">
        <v>440000115</v>
      </c>
      <c r="G66" s="1175" t="s">
        <v>1132</v>
      </c>
      <c r="H66" s="1178" t="s">
        <v>1554</v>
      </c>
      <c r="I66" s="1178"/>
      <c r="J66" s="1178"/>
      <c r="K66" s="1178"/>
    </row>
    <row r="67" spans="2:11">
      <c r="B67" s="1175">
        <v>440018380</v>
      </c>
      <c r="C67" s="1175" t="s">
        <v>935</v>
      </c>
      <c r="D67" s="1175" t="s">
        <v>1986</v>
      </c>
      <c r="F67" s="1175">
        <v>440000115</v>
      </c>
      <c r="G67" s="1175" t="s">
        <v>1132</v>
      </c>
      <c r="H67" s="1178" t="s">
        <v>1554</v>
      </c>
      <c r="I67" s="1178"/>
      <c r="J67" s="1178"/>
      <c r="K67" s="1178"/>
    </row>
    <row r="68" spans="2:11">
      <c r="B68" s="1175">
        <v>440018380</v>
      </c>
      <c r="C68" s="1175" t="s">
        <v>935</v>
      </c>
      <c r="D68" s="1175" t="s">
        <v>1986</v>
      </c>
      <c r="F68" s="1175">
        <v>440000131</v>
      </c>
      <c r="G68" s="1175" t="s">
        <v>1075</v>
      </c>
      <c r="H68" s="1178" t="s">
        <v>1555</v>
      </c>
      <c r="I68" s="1178"/>
      <c r="J68" s="1178"/>
      <c r="K68" s="1178"/>
    </row>
    <row r="69" spans="2:11">
      <c r="B69" s="1175">
        <v>440018380</v>
      </c>
      <c r="C69" s="1175" t="s">
        <v>935</v>
      </c>
      <c r="D69" s="1175" t="s">
        <v>1986</v>
      </c>
      <c r="F69" s="1175">
        <v>440000149</v>
      </c>
      <c r="G69" s="1175" t="s">
        <v>1133</v>
      </c>
      <c r="H69" s="1178" t="s">
        <v>1556</v>
      </c>
      <c r="I69" s="1178"/>
      <c r="J69" s="1178"/>
      <c r="K69" s="1178"/>
    </row>
    <row r="70" spans="2:11">
      <c r="B70" s="1175">
        <v>440018380</v>
      </c>
      <c r="C70" s="1175" t="s">
        <v>935</v>
      </c>
      <c r="D70" s="1175" t="s">
        <v>1986</v>
      </c>
      <c r="F70" s="1175">
        <v>440000164</v>
      </c>
      <c r="G70" s="1175" t="s">
        <v>1074</v>
      </c>
      <c r="H70" s="1178" t="s">
        <v>1557</v>
      </c>
      <c r="I70" s="1178"/>
      <c r="J70" s="1178"/>
      <c r="K70" s="1178"/>
    </row>
    <row r="71" spans="2:11">
      <c r="B71" s="1175">
        <v>440018380</v>
      </c>
      <c r="C71" s="1175" t="s">
        <v>935</v>
      </c>
      <c r="D71" s="1175" t="s">
        <v>1986</v>
      </c>
      <c r="F71" s="1175">
        <v>440000164</v>
      </c>
      <c r="G71" s="1175" t="s">
        <v>1074</v>
      </c>
      <c r="H71" s="1178" t="s">
        <v>1557</v>
      </c>
      <c r="I71" s="1178"/>
      <c r="J71" s="1178"/>
      <c r="K71" s="1178"/>
    </row>
    <row r="72" spans="2:11">
      <c r="B72" s="1175">
        <v>440018380</v>
      </c>
      <c r="C72" s="1175" t="s">
        <v>935</v>
      </c>
      <c r="D72" s="1175" t="s">
        <v>1986</v>
      </c>
      <c r="F72" s="1175">
        <v>440000164</v>
      </c>
      <c r="G72" s="1175" t="s">
        <v>1074</v>
      </c>
      <c r="H72" s="1178" t="s">
        <v>1557</v>
      </c>
      <c r="I72" s="1178"/>
      <c r="J72" s="1178"/>
      <c r="K72" s="1178"/>
    </row>
    <row r="73" spans="2:11">
      <c r="B73" s="1175">
        <v>440001352</v>
      </c>
      <c r="C73" s="1175" t="s">
        <v>926</v>
      </c>
      <c r="D73" s="1175" t="s">
        <v>1979</v>
      </c>
      <c r="F73" s="1175">
        <v>440033249</v>
      </c>
      <c r="G73" s="1175" t="s">
        <v>928</v>
      </c>
      <c r="H73" s="1178" t="s">
        <v>1538</v>
      </c>
      <c r="I73" s="1178"/>
      <c r="J73" s="1178"/>
      <c r="K73" s="1178"/>
    </row>
    <row r="74" spans="2:11">
      <c r="B74" s="1175">
        <v>440001352</v>
      </c>
      <c r="C74" s="1175" t="s">
        <v>926</v>
      </c>
      <c r="D74" s="1175" t="s">
        <v>1979</v>
      </c>
      <c r="F74" s="1175">
        <v>440046340</v>
      </c>
      <c r="G74" s="1175" t="s">
        <v>927</v>
      </c>
      <c r="H74" s="1178" t="s">
        <v>1558</v>
      </c>
      <c r="I74" s="1178"/>
      <c r="J74" s="1178"/>
      <c r="K74" s="1178"/>
    </row>
    <row r="75" spans="2:11">
      <c r="B75" s="1175">
        <v>440001352</v>
      </c>
      <c r="C75" s="1175" t="s">
        <v>926</v>
      </c>
      <c r="D75" s="1175" t="s">
        <v>1979</v>
      </c>
      <c r="F75" s="1175">
        <v>440046340</v>
      </c>
      <c r="G75" s="1175" t="s">
        <v>927</v>
      </c>
      <c r="H75" s="1178" t="s">
        <v>1558</v>
      </c>
      <c r="I75" s="1178"/>
      <c r="J75" s="1178"/>
      <c r="K75" s="1178"/>
    </row>
    <row r="76" spans="2:11">
      <c r="B76" s="1175">
        <v>440001352</v>
      </c>
      <c r="C76" s="1175" t="s">
        <v>926</v>
      </c>
      <c r="D76" s="1175" t="s">
        <v>1979</v>
      </c>
      <c r="F76" s="1175">
        <v>440049369</v>
      </c>
      <c r="G76" s="1175" t="s">
        <v>1134</v>
      </c>
      <c r="H76" s="1178" t="s">
        <v>1559</v>
      </c>
      <c r="I76" s="1178"/>
      <c r="J76" s="1178"/>
      <c r="K76" s="1178"/>
    </row>
    <row r="77" spans="2:11">
      <c r="B77" s="1175">
        <v>440001485</v>
      </c>
      <c r="C77" s="1175" t="s">
        <v>982</v>
      </c>
      <c r="D77" s="1175" t="s">
        <v>1980</v>
      </c>
      <c r="F77" s="1175">
        <v>440046886</v>
      </c>
      <c r="G77" s="1175" t="s">
        <v>984</v>
      </c>
      <c r="H77" s="1178" t="s">
        <v>1560</v>
      </c>
      <c r="I77" s="1178"/>
      <c r="J77" s="1178"/>
      <c r="K77" s="1178"/>
    </row>
    <row r="78" spans="2:11">
      <c r="B78" s="1175">
        <v>440001485</v>
      </c>
      <c r="C78" s="1175" t="s">
        <v>982</v>
      </c>
      <c r="D78" s="1175" t="s">
        <v>1980</v>
      </c>
      <c r="F78" s="1175">
        <v>440046886</v>
      </c>
      <c r="G78" s="1175" t="s">
        <v>984</v>
      </c>
      <c r="H78" s="1178" t="s">
        <v>1560</v>
      </c>
      <c r="I78" s="1178"/>
      <c r="J78" s="1178"/>
      <c r="K78" s="1178"/>
    </row>
    <row r="79" spans="2:11">
      <c r="B79" s="1175">
        <v>440001485</v>
      </c>
      <c r="C79" s="1175" t="s">
        <v>982</v>
      </c>
      <c r="D79" s="1175" t="s">
        <v>1980</v>
      </c>
      <c r="F79" s="1175">
        <v>440046886</v>
      </c>
      <c r="G79" s="1175" t="s">
        <v>984</v>
      </c>
      <c r="H79" s="1178" t="s">
        <v>1560</v>
      </c>
      <c r="I79" s="1178"/>
      <c r="J79" s="1178"/>
      <c r="K79" s="1178"/>
    </row>
    <row r="80" spans="2:11">
      <c r="B80" s="1175">
        <v>440001485</v>
      </c>
      <c r="C80" s="1175" t="s">
        <v>982</v>
      </c>
      <c r="D80" s="1175" t="s">
        <v>1980</v>
      </c>
      <c r="F80" s="1175">
        <v>440048916</v>
      </c>
      <c r="G80" s="1175" t="s">
        <v>986</v>
      </c>
      <c r="H80" s="1178" t="s">
        <v>1540</v>
      </c>
      <c r="I80" s="1178"/>
      <c r="J80" s="1178"/>
      <c r="K80" s="1178"/>
    </row>
    <row r="81" spans="2:11">
      <c r="B81" s="1175">
        <v>440001485</v>
      </c>
      <c r="C81" s="1175" t="s">
        <v>982</v>
      </c>
      <c r="D81" s="1175" t="s">
        <v>1980</v>
      </c>
      <c r="F81" s="1175">
        <v>440048916</v>
      </c>
      <c r="G81" s="1175" t="s">
        <v>986</v>
      </c>
      <c r="H81" s="1178" t="s">
        <v>1540</v>
      </c>
      <c r="I81" s="1178"/>
      <c r="J81" s="1178"/>
      <c r="K81" s="1178"/>
    </row>
    <row r="82" spans="2:11">
      <c r="B82" s="1175">
        <v>440002467</v>
      </c>
      <c r="C82" s="1175" t="s">
        <v>1059</v>
      </c>
      <c r="D82" s="1175" t="s">
        <v>1981</v>
      </c>
      <c r="F82" s="1175">
        <v>440003747</v>
      </c>
      <c r="G82" s="1175" t="s">
        <v>1059</v>
      </c>
      <c r="H82" s="1178" t="s">
        <v>1544</v>
      </c>
      <c r="I82" s="1178"/>
      <c r="J82" s="1178"/>
      <c r="K82" s="1178"/>
    </row>
    <row r="83" spans="2:11">
      <c r="B83" s="1175">
        <v>440002467</v>
      </c>
      <c r="C83" s="1175" t="s">
        <v>1059</v>
      </c>
      <c r="D83" s="1175" t="s">
        <v>1981</v>
      </c>
      <c r="F83" s="1175">
        <v>440003747</v>
      </c>
      <c r="G83" s="1175" t="s">
        <v>1059</v>
      </c>
      <c r="H83" s="1178" t="s">
        <v>1544</v>
      </c>
      <c r="I83" s="1178"/>
      <c r="J83" s="1178"/>
      <c r="K83" s="1178"/>
    </row>
    <row r="84" spans="2:11">
      <c r="B84" s="1175">
        <v>440002467</v>
      </c>
      <c r="C84" s="1175" t="s">
        <v>1059</v>
      </c>
      <c r="D84" s="1175" t="s">
        <v>1981</v>
      </c>
      <c r="F84" s="1175">
        <v>440003747</v>
      </c>
      <c r="G84" s="1175" t="s">
        <v>1059</v>
      </c>
      <c r="H84" s="1178" t="s">
        <v>1544</v>
      </c>
      <c r="I84" s="1178"/>
      <c r="J84" s="1178"/>
      <c r="K84" s="1178"/>
    </row>
    <row r="85" spans="2:11">
      <c r="B85" s="1175">
        <v>440002467</v>
      </c>
      <c r="C85" s="1175" t="s">
        <v>1059</v>
      </c>
      <c r="D85" s="1175" t="s">
        <v>1981</v>
      </c>
      <c r="F85" s="1175">
        <v>440003747</v>
      </c>
      <c r="G85" s="1175" t="s">
        <v>1059</v>
      </c>
      <c r="H85" s="1178" t="s">
        <v>1544</v>
      </c>
      <c r="I85" s="1178"/>
      <c r="J85" s="1178"/>
      <c r="K85" s="1178"/>
    </row>
    <row r="86" spans="2:11">
      <c r="B86" s="1175">
        <v>440002467</v>
      </c>
      <c r="C86" s="1175" t="s">
        <v>1059</v>
      </c>
      <c r="D86" s="1175" t="s">
        <v>1981</v>
      </c>
      <c r="F86" s="1175">
        <v>440043172</v>
      </c>
      <c r="G86" s="1175" t="s">
        <v>1086</v>
      </c>
      <c r="H86" s="1178" t="s">
        <v>1544</v>
      </c>
      <c r="I86" s="1178"/>
      <c r="J86" s="1178"/>
      <c r="K86" s="1178"/>
    </row>
    <row r="87" spans="2:11">
      <c r="B87" s="1175">
        <v>440002467</v>
      </c>
      <c r="C87" s="1175" t="s">
        <v>1059</v>
      </c>
      <c r="D87" s="1175" t="s">
        <v>1981</v>
      </c>
      <c r="F87" s="1175">
        <v>440043172</v>
      </c>
      <c r="G87" s="1175" t="s">
        <v>1086</v>
      </c>
      <c r="H87" s="1178" t="s">
        <v>1544</v>
      </c>
      <c r="I87" s="1178"/>
      <c r="J87" s="1178"/>
      <c r="K87" s="1178"/>
    </row>
    <row r="88" spans="2:11">
      <c r="B88" s="1175">
        <v>440002467</v>
      </c>
      <c r="C88" s="1175" t="s">
        <v>1059</v>
      </c>
      <c r="D88" s="1175" t="s">
        <v>1981</v>
      </c>
      <c r="F88" s="1175">
        <v>440043172</v>
      </c>
      <c r="G88" s="1175" t="s">
        <v>1086</v>
      </c>
      <c r="H88" s="1178" t="s">
        <v>1544</v>
      </c>
      <c r="I88" s="1178"/>
      <c r="J88" s="1178"/>
      <c r="K88" s="1178"/>
    </row>
    <row r="89" spans="2:11">
      <c r="B89" s="1175">
        <v>440002467</v>
      </c>
      <c r="C89" s="1175" t="s">
        <v>1059</v>
      </c>
      <c r="D89" s="1175" t="s">
        <v>1981</v>
      </c>
      <c r="F89" s="1175">
        <v>440049674</v>
      </c>
      <c r="G89" s="1175" t="s">
        <v>1123</v>
      </c>
      <c r="H89" s="1178" t="s">
        <v>1561</v>
      </c>
      <c r="I89" s="1178"/>
      <c r="J89" s="1178"/>
      <c r="K89" s="1178"/>
    </row>
    <row r="90" spans="2:11">
      <c r="B90" s="1175">
        <v>440004315</v>
      </c>
      <c r="C90" s="1175" t="s">
        <v>1047</v>
      </c>
      <c r="D90" s="1175" t="s">
        <v>1982</v>
      </c>
      <c r="F90" s="1175">
        <v>440047165</v>
      </c>
      <c r="G90" s="1175" t="s">
        <v>1135</v>
      </c>
      <c r="H90" s="1178" t="s">
        <v>1562</v>
      </c>
      <c r="I90" s="1178"/>
      <c r="J90" s="1178"/>
      <c r="K90" s="1178"/>
    </row>
    <row r="91" spans="2:11">
      <c r="B91" s="1175">
        <v>440004315</v>
      </c>
      <c r="C91" s="1175" t="s">
        <v>1047</v>
      </c>
      <c r="D91" s="1175" t="s">
        <v>1982</v>
      </c>
      <c r="F91" s="1175">
        <v>440047165</v>
      </c>
      <c r="G91" s="1175" t="s">
        <v>1135</v>
      </c>
      <c r="H91" s="1178" t="s">
        <v>1562</v>
      </c>
      <c r="I91" s="1178"/>
      <c r="J91" s="1178"/>
      <c r="K91" s="1178"/>
    </row>
    <row r="92" spans="2:11">
      <c r="B92" s="1175">
        <v>440004349</v>
      </c>
      <c r="C92" s="1175" t="s">
        <v>1053</v>
      </c>
      <c r="D92" s="1175" t="s">
        <v>1987</v>
      </c>
      <c r="F92" s="1175">
        <v>440050474</v>
      </c>
      <c r="G92" s="1175" t="s">
        <v>1136</v>
      </c>
      <c r="H92" s="1178" t="s">
        <v>1563</v>
      </c>
      <c r="I92" s="1178"/>
      <c r="J92" s="1178"/>
      <c r="K92" s="1178"/>
    </row>
    <row r="93" spans="2:11">
      <c r="B93" s="1175">
        <v>440004349</v>
      </c>
      <c r="C93" s="1175" t="s">
        <v>1053</v>
      </c>
      <c r="D93" s="1175" t="s">
        <v>1987</v>
      </c>
      <c r="F93" s="1175">
        <v>440050474</v>
      </c>
      <c r="G93" s="1175" t="s">
        <v>1136</v>
      </c>
      <c r="H93" s="1178" t="s">
        <v>1563</v>
      </c>
      <c r="I93" s="1178"/>
      <c r="J93" s="1178"/>
      <c r="K93" s="1178"/>
    </row>
    <row r="94" spans="2:11">
      <c r="B94" s="1175">
        <v>440007482</v>
      </c>
      <c r="C94" s="1175" t="s">
        <v>1063</v>
      </c>
      <c r="D94" s="1175" t="s">
        <v>1988</v>
      </c>
      <c r="F94" s="1175">
        <v>440044725</v>
      </c>
      <c r="G94" s="1175" t="s">
        <v>993</v>
      </c>
      <c r="H94" s="1178" t="s">
        <v>1564</v>
      </c>
      <c r="I94" s="1178"/>
      <c r="J94" s="1178"/>
      <c r="K94" s="1178"/>
    </row>
    <row r="95" spans="2:11">
      <c r="B95" s="1175">
        <v>440011484</v>
      </c>
      <c r="C95" s="1175" t="s">
        <v>1130</v>
      </c>
      <c r="D95" s="1175" t="s">
        <v>1985</v>
      </c>
      <c r="F95" s="1175">
        <v>440033900</v>
      </c>
      <c r="G95" s="1175" t="s">
        <v>1131</v>
      </c>
      <c r="H95" s="1178" t="s">
        <v>1553</v>
      </c>
      <c r="I95" s="1178"/>
      <c r="J95" s="1178"/>
      <c r="K95" s="1178"/>
    </row>
    <row r="96" spans="2:11">
      <c r="B96" s="1175">
        <v>440011484</v>
      </c>
      <c r="C96" s="1175" t="s">
        <v>1130</v>
      </c>
      <c r="D96" s="1175" t="s">
        <v>1985</v>
      </c>
      <c r="F96" s="1175">
        <v>440033900</v>
      </c>
      <c r="G96" s="1175" t="s">
        <v>1131</v>
      </c>
      <c r="H96" s="1178" t="s">
        <v>1553</v>
      </c>
      <c r="I96" s="1178"/>
      <c r="J96" s="1178"/>
      <c r="K96" s="1178"/>
    </row>
    <row r="97" spans="2:11">
      <c r="B97" s="1175">
        <v>440011484</v>
      </c>
      <c r="C97" s="1175" t="s">
        <v>1130</v>
      </c>
      <c r="D97" s="1175" t="s">
        <v>1985</v>
      </c>
      <c r="F97" s="1175">
        <v>440033900</v>
      </c>
      <c r="G97" s="1175" t="s">
        <v>1131</v>
      </c>
      <c r="H97" s="1178" t="s">
        <v>1553</v>
      </c>
      <c r="I97" s="1178"/>
      <c r="J97" s="1178"/>
      <c r="K97" s="1178"/>
    </row>
    <row r="98" spans="2:11">
      <c r="B98" s="1175">
        <v>440018380</v>
      </c>
      <c r="C98" s="1175" t="s">
        <v>935</v>
      </c>
      <c r="D98" s="1175" t="s">
        <v>1986</v>
      </c>
      <c r="F98" s="1175">
        <v>440000115</v>
      </c>
      <c r="G98" s="1175" t="s">
        <v>1132</v>
      </c>
      <c r="H98" s="1178" t="s">
        <v>1554</v>
      </c>
      <c r="I98" s="1178"/>
      <c r="J98" s="1178"/>
      <c r="K98" s="1178"/>
    </row>
    <row r="99" spans="2:11">
      <c r="B99" s="1175">
        <v>440018380</v>
      </c>
      <c r="C99" s="1175" t="s">
        <v>935</v>
      </c>
      <c r="D99" s="1175" t="s">
        <v>1986</v>
      </c>
      <c r="F99" s="1175">
        <v>440000115</v>
      </c>
      <c r="G99" s="1175" t="s">
        <v>1132</v>
      </c>
      <c r="H99" s="1179" t="s">
        <v>1554</v>
      </c>
      <c r="I99" s="1178"/>
      <c r="J99" s="1178"/>
      <c r="K99" s="1178"/>
    </row>
    <row r="100" spans="2:11">
      <c r="B100" s="1175">
        <v>440018380</v>
      </c>
      <c r="C100" s="1175" t="s">
        <v>935</v>
      </c>
      <c r="D100" s="1175" t="s">
        <v>1986</v>
      </c>
      <c r="F100" s="1175">
        <v>440000123</v>
      </c>
      <c r="G100" s="1175" t="s">
        <v>1073</v>
      </c>
      <c r="H100" s="1178" t="s">
        <v>1565</v>
      </c>
      <c r="I100" s="1178"/>
      <c r="J100" s="1178"/>
      <c r="K100" s="1178"/>
    </row>
    <row r="101" spans="2:11">
      <c r="B101" s="1175">
        <v>440018380</v>
      </c>
      <c r="C101" s="1175" t="s">
        <v>935</v>
      </c>
      <c r="D101" s="1175" t="s">
        <v>1986</v>
      </c>
      <c r="F101" s="1175">
        <v>440000123</v>
      </c>
      <c r="G101" s="1175" t="s">
        <v>1073</v>
      </c>
      <c r="H101" s="1178" t="s">
        <v>1565</v>
      </c>
      <c r="I101" s="1178"/>
      <c r="J101" s="1178"/>
      <c r="K101" s="1178"/>
    </row>
    <row r="102" spans="2:11">
      <c r="B102" s="1175">
        <v>440018380</v>
      </c>
      <c r="C102" s="1175" t="s">
        <v>935</v>
      </c>
      <c r="D102" s="1175" t="s">
        <v>1986</v>
      </c>
      <c r="F102" s="1175">
        <v>440000131</v>
      </c>
      <c r="G102" s="1175" t="s">
        <v>1075</v>
      </c>
      <c r="H102" s="1178" t="s">
        <v>1555</v>
      </c>
      <c r="I102" s="1178"/>
      <c r="J102" s="1178"/>
      <c r="K102" s="1178"/>
    </row>
    <row r="103" spans="2:11">
      <c r="B103" s="1175">
        <v>440018380</v>
      </c>
      <c r="C103" s="1175" t="s">
        <v>935</v>
      </c>
      <c r="D103" s="1175" t="s">
        <v>1986</v>
      </c>
      <c r="F103" s="1175">
        <v>440000172</v>
      </c>
      <c r="G103" s="1175" t="s">
        <v>1076</v>
      </c>
      <c r="H103" s="1178" t="s">
        <v>1566</v>
      </c>
      <c r="I103" s="1178"/>
      <c r="J103" s="1178"/>
      <c r="K103" s="1178"/>
    </row>
    <row r="104" spans="2:11">
      <c r="B104" s="1175">
        <v>440018380</v>
      </c>
      <c r="C104" s="1175" t="s">
        <v>935</v>
      </c>
      <c r="D104" s="1175" t="s">
        <v>1986</v>
      </c>
      <c r="F104" s="1175">
        <v>440000172</v>
      </c>
      <c r="G104" s="1175" t="s">
        <v>1076</v>
      </c>
      <c r="H104" s="1178" t="s">
        <v>1566</v>
      </c>
      <c r="I104" s="1178"/>
      <c r="J104" s="1178"/>
      <c r="K104" s="1178"/>
    </row>
    <row r="105" spans="2:11">
      <c r="B105" s="1175">
        <v>440018380</v>
      </c>
      <c r="C105" s="1175" t="s">
        <v>935</v>
      </c>
      <c r="D105" s="1175" t="s">
        <v>1986</v>
      </c>
      <c r="F105" s="1175">
        <v>440000214</v>
      </c>
      <c r="G105" s="1175" t="s">
        <v>1078</v>
      </c>
      <c r="H105" s="1178" t="s">
        <v>1567</v>
      </c>
      <c r="I105" s="1178"/>
      <c r="J105" s="1178"/>
      <c r="K105" s="1178"/>
    </row>
    <row r="106" spans="2:11">
      <c r="B106" s="1175">
        <v>440018380</v>
      </c>
      <c r="C106" s="1175" t="s">
        <v>935</v>
      </c>
      <c r="D106" s="1175" t="s">
        <v>1986</v>
      </c>
      <c r="F106" s="1175">
        <v>440000214</v>
      </c>
      <c r="G106" s="1175" t="s">
        <v>1078</v>
      </c>
      <c r="H106" s="1178" t="s">
        <v>1567</v>
      </c>
      <c r="I106" s="1178"/>
      <c r="J106" s="1178"/>
      <c r="K106" s="1178"/>
    </row>
    <row r="107" spans="2:11">
      <c r="B107" s="1175">
        <v>440018380</v>
      </c>
      <c r="C107" s="1175" t="s">
        <v>935</v>
      </c>
      <c r="D107" s="1175" t="s">
        <v>1986</v>
      </c>
      <c r="F107" s="1175">
        <v>440000214</v>
      </c>
      <c r="G107" s="1175" t="s">
        <v>1078</v>
      </c>
      <c r="H107" s="1178" t="s">
        <v>1567</v>
      </c>
      <c r="I107" s="1178"/>
      <c r="J107" s="1178"/>
      <c r="K107" s="1178"/>
    </row>
    <row r="108" spans="2:11">
      <c r="B108" s="1175">
        <v>440018380</v>
      </c>
      <c r="C108" s="1175" t="s">
        <v>935</v>
      </c>
      <c r="D108" s="1175" t="s">
        <v>1986</v>
      </c>
      <c r="F108" s="1175">
        <v>440000636</v>
      </c>
      <c r="G108" s="1175" t="s">
        <v>1137</v>
      </c>
      <c r="H108" s="1178" t="s">
        <v>1568</v>
      </c>
      <c r="I108" s="1178"/>
      <c r="J108" s="1178"/>
      <c r="K108" s="1178"/>
    </row>
    <row r="109" spans="2:11">
      <c r="B109" s="1175">
        <v>440018380</v>
      </c>
      <c r="C109" s="1175" t="s">
        <v>935</v>
      </c>
      <c r="D109" s="1175" t="s">
        <v>1986</v>
      </c>
      <c r="F109" s="1175">
        <v>440002350</v>
      </c>
      <c r="G109" s="1175" t="s">
        <v>1077</v>
      </c>
      <c r="H109" s="1178" t="s">
        <v>1569</v>
      </c>
      <c r="I109" s="1178"/>
      <c r="J109" s="1178"/>
      <c r="K109" s="1178"/>
    </row>
    <row r="110" spans="2:11">
      <c r="B110" s="1175">
        <v>440018380</v>
      </c>
      <c r="C110" s="1175" t="s">
        <v>935</v>
      </c>
      <c r="D110" s="1175" t="s">
        <v>1986</v>
      </c>
      <c r="F110" s="1175">
        <v>440002350</v>
      </c>
      <c r="G110" s="1175" t="s">
        <v>1077</v>
      </c>
      <c r="H110" s="1178" t="s">
        <v>1569</v>
      </c>
      <c r="I110" s="1178"/>
      <c r="J110" s="1178"/>
      <c r="K110" s="1178"/>
    </row>
    <row r="111" spans="2:11">
      <c r="B111" s="1175">
        <v>440018380</v>
      </c>
      <c r="C111" s="1175" t="s">
        <v>935</v>
      </c>
      <c r="D111" s="1175" t="s">
        <v>1986</v>
      </c>
      <c r="F111" s="1175">
        <v>440002350</v>
      </c>
      <c r="G111" s="1175" t="s">
        <v>1077</v>
      </c>
      <c r="H111" s="1178" t="s">
        <v>1569</v>
      </c>
      <c r="I111" s="1178"/>
      <c r="J111" s="1178"/>
      <c r="K111" s="1178"/>
    </row>
    <row r="112" spans="2:11">
      <c r="B112" s="1175">
        <v>440018380</v>
      </c>
      <c r="C112" s="1175" t="s">
        <v>935</v>
      </c>
      <c r="D112" s="1175" t="s">
        <v>1986</v>
      </c>
      <c r="F112" s="1175">
        <v>440007490</v>
      </c>
      <c r="G112" s="1175" t="s">
        <v>1138</v>
      </c>
      <c r="H112" s="1178" t="s">
        <v>1570</v>
      </c>
      <c r="I112" s="1178"/>
      <c r="J112" s="1178"/>
      <c r="K112" s="1178"/>
    </row>
    <row r="113" spans="2:11">
      <c r="B113" s="1175">
        <v>440018380</v>
      </c>
      <c r="C113" s="1175" t="s">
        <v>935</v>
      </c>
      <c r="D113" s="1175" t="s">
        <v>1986</v>
      </c>
      <c r="F113" s="1175">
        <v>440007490</v>
      </c>
      <c r="G113" s="1175" t="s">
        <v>1138</v>
      </c>
      <c r="H113" s="1178" t="s">
        <v>1570</v>
      </c>
      <c r="I113" s="1178"/>
      <c r="J113" s="1178"/>
      <c r="K113" s="1178"/>
    </row>
    <row r="114" spans="2:11">
      <c r="B114" s="1175">
        <v>440018380</v>
      </c>
      <c r="C114" s="1175" t="s">
        <v>935</v>
      </c>
      <c r="D114" s="1175" t="s">
        <v>1986</v>
      </c>
      <c r="F114" s="1175">
        <v>440011492</v>
      </c>
      <c r="G114" s="1175" t="s">
        <v>1139</v>
      </c>
      <c r="H114" s="1178" t="s">
        <v>1571</v>
      </c>
      <c r="I114" s="1178"/>
      <c r="J114" s="1178"/>
      <c r="K114" s="1178"/>
    </row>
    <row r="115" spans="2:11">
      <c r="B115" s="1175">
        <v>440018380</v>
      </c>
      <c r="C115" s="1175" t="s">
        <v>935</v>
      </c>
      <c r="D115" s="1175" t="s">
        <v>1986</v>
      </c>
      <c r="F115" s="1175">
        <v>440012714</v>
      </c>
      <c r="G115" s="1175" t="s">
        <v>1140</v>
      </c>
      <c r="H115" s="1178" t="s">
        <v>1572</v>
      </c>
      <c r="I115" s="1178"/>
      <c r="J115" s="1178"/>
      <c r="K115" s="1178"/>
    </row>
    <row r="116" spans="2:11">
      <c r="B116" s="1175">
        <v>440018380</v>
      </c>
      <c r="C116" s="1175" t="s">
        <v>935</v>
      </c>
      <c r="D116" s="1175" t="s">
        <v>1986</v>
      </c>
      <c r="F116" s="1175">
        <v>440012722</v>
      </c>
      <c r="G116" s="1175" t="s">
        <v>1141</v>
      </c>
      <c r="H116" s="1178" t="s">
        <v>1573</v>
      </c>
      <c r="I116" s="1178"/>
      <c r="J116" s="1178"/>
      <c r="K116" s="1178"/>
    </row>
    <row r="117" spans="2:11">
      <c r="B117" s="1175">
        <v>440018380</v>
      </c>
      <c r="C117" s="1175" t="s">
        <v>935</v>
      </c>
      <c r="D117" s="1175" t="s">
        <v>1986</v>
      </c>
      <c r="F117" s="1175">
        <v>440026359</v>
      </c>
      <c r="G117" s="1175" t="s">
        <v>1142</v>
      </c>
      <c r="H117" s="1178" t="s">
        <v>1574</v>
      </c>
      <c r="I117" s="1178"/>
      <c r="J117" s="1178"/>
      <c r="K117" s="1178"/>
    </row>
    <row r="118" spans="2:11">
      <c r="B118" s="1175">
        <v>440018380</v>
      </c>
      <c r="C118" s="1175" t="s">
        <v>935</v>
      </c>
      <c r="D118" s="1175" t="s">
        <v>1986</v>
      </c>
      <c r="F118" s="1175">
        <v>440026359</v>
      </c>
      <c r="G118" s="1175" t="s">
        <v>1142</v>
      </c>
      <c r="H118" s="1178" t="s">
        <v>1574</v>
      </c>
      <c r="I118" s="1178"/>
      <c r="J118" s="1178"/>
      <c r="K118" s="1178"/>
    </row>
    <row r="119" spans="2:11">
      <c r="B119" s="1175">
        <v>440018380</v>
      </c>
      <c r="C119" s="1175" t="s">
        <v>935</v>
      </c>
      <c r="D119" s="1175" t="s">
        <v>1986</v>
      </c>
      <c r="F119" s="1175">
        <v>440026474</v>
      </c>
      <c r="G119" s="1175" t="s">
        <v>1080</v>
      </c>
      <c r="H119" s="1178" t="s">
        <v>1575</v>
      </c>
      <c r="I119" s="1178"/>
      <c r="J119" s="1178"/>
      <c r="K119" s="1178"/>
    </row>
    <row r="120" spans="2:11">
      <c r="B120" s="1175">
        <v>440018380</v>
      </c>
      <c r="C120" s="1175" t="s">
        <v>935</v>
      </c>
      <c r="D120" s="1175" t="s">
        <v>1986</v>
      </c>
      <c r="F120" s="1175">
        <v>440026524</v>
      </c>
      <c r="G120" s="1175" t="s">
        <v>1070</v>
      </c>
      <c r="H120" s="1178" t="s">
        <v>1557</v>
      </c>
      <c r="I120" s="1178"/>
      <c r="J120" s="1178"/>
      <c r="K120" s="1178"/>
    </row>
    <row r="121" spans="2:11">
      <c r="B121" s="1175">
        <v>440018380</v>
      </c>
      <c r="C121" s="1175" t="s">
        <v>935</v>
      </c>
      <c r="D121" s="1175" t="s">
        <v>1986</v>
      </c>
      <c r="F121" s="1175">
        <v>440026524</v>
      </c>
      <c r="G121" s="1175" t="s">
        <v>1070</v>
      </c>
      <c r="H121" s="1178" t="s">
        <v>1557</v>
      </c>
      <c r="I121" s="1178"/>
      <c r="J121" s="1178"/>
      <c r="K121" s="1178"/>
    </row>
    <row r="122" spans="2:11">
      <c r="B122" s="1175">
        <v>440018380</v>
      </c>
      <c r="C122" s="1175" t="s">
        <v>935</v>
      </c>
      <c r="D122" s="1175" t="s">
        <v>1986</v>
      </c>
      <c r="F122" s="1175">
        <v>440032944</v>
      </c>
      <c r="G122" s="1175" t="s">
        <v>1143</v>
      </c>
      <c r="H122" s="1178" t="s">
        <v>1576</v>
      </c>
      <c r="I122" s="1178"/>
      <c r="J122" s="1178"/>
      <c r="K122" s="1178"/>
    </row>
    <row r="123" spans="2:11">
      <c r="B123" s="1175">
        <v>440018380</v>
      </c>
      <c r="C123" s="1175" t="s">
        <v>935</v>
      </c>
      <c r="D123" s="1175" t="s">
        <v>1986</v>
      </c>
      <c r="F123" s="1175">
        <v>440032944</v>
      </c>
      <c r="G123" s="1175" t="s">
        <v>1143</v>
      </c>
      <c r="H123" s="1178" t="s">
        <v>1576</v>
      </c>
      <c r="I123" s="1178"/>
      <c r="J123" s="1178"/>
      <c r="K123" s="1178"/>
    </row>
    <row r="124" spans="2:11">
      <c r="B124" s="1175">
        <v>440018380</v>
      </c>
      <c r="C124" s="1175" t="s">
        <v>935</v>
      </c>
      <c r="D124" s="1175" t="s">
        <v>1986</v>
      </c>
      <c r="F124" s="1175">
        <v>440034692</v>
      </c>
      <c r="G124" s="1175" t="s">
        <v>1081</v>
      </c>
      <c r="H124" s="1178" t="s">
        <v>1577</v>
      </c>
      <c r="I124" s="1178"/>
      <c r="J124" s="1178"/>
      <c r="K124" s="1178"/>
    </row>
    <row r="125" spans="2:11">
      <c r="B125" s="1175">
        <v>440018380</v>
      </c>
      <c r="C125" s="1175" t="s">
        <v>935</v>
      </c>
      <c r="D125" s="1175" t="s">
        <v>1986</v>
      </c>
      <c r="F125" s="1175">
        <v>440034692</v>
      </c>
      <c r="G125" s="1175" t="s">
        <v>1081</v>
      </c>
      <c r="H125" s="1178" t="s">
        <v>1577</v>
      </c>
      <c r="I125" s="1178"/>
      <c r="J125" s="1178"/>
      <c r="K125" s="1178"/>
    </row>
    <row r="126" spans="2:11">
      <c r="B126" s="1175">
        <v>440018380</v>
      </c>
      <c r="C126" s="1175" t="s">
        <v>935</v>
      </c>
      <c r="D126" s="1175" t="s">
        <v>1986</v>
      </c>
      <c r="F126" s="1175">
        <v>440034692</v>
      </c>
      <c r="G126" s="1175" t="s">
        <v>1081</v>
      </c>
      <c r="H126" s="1178" t="s">
        <v>1577</v>
      </c>
      <c r="I126" s="1178"/>
      <c r="J126" s="1178"/>
      <c r="K126" s="1178"/>
    </row>
    <row r="127" spans="2:11">
      <c r="B127" s="1175">
        <v>440018380</v>
      </c>
      <c r="C127" s="1175" t="s">
        <v>935</v>
      </c>
      <c r="D127" s="1175" t="s">
        <v>1986</v>
      </c>
      <c r="F127" s="1175">
        <v>440040434</v>
      </c>
      <c r="G127" s="1175" t="s">
        <v>1144</v>
      </c>
      <c r="H127" s="1178" t="s">
        <v>1578</v>
      </c>
      <c r="I127" s="1178"/>
      <c r="J127" s="1178"/>
      <c r="K127" s="1178"/>
    </row>
    <row r="128" spans="2:11">
      <c r="B128" s="1175">
        <v>440018380</v>
      </c>
      <c r="C128" s="1175" t="s">
        <v>935</v>
      </c>
      <c r="D128" s="1175" t="s">
        <v>1986</v>
      </c>
      <c r="F128" s="1175">
        <v>440040434</v>
      </c>
      <c r="G128" s="1175" t="s">
        <v>1144</v>
      </c>
      <c r="H128" s="1178" t="s">
        <v>1578</v>
      </c>
      <c r="I128" s="1178"/>
      <c r="J128" s="1178"/>
      <c r="K128" s="1178"/>
    </row>
    <row r="129" spans="2:11">
      <c r="B129" s="1175">
        <v>440018380</v>
      </c>
      <c r="C129" s="1175" t="s">
        <v>935</v>
      </c>
      <c r="D129" s="1175" t="s">
        <v>1986</v>
      </c>
      <c r="F129" s="1175">
        <v>440040434</v>
      </c>
      <c r="G129" s="1175" t="s">
        <v>1144</v>
      </c>
      <c r="H129" s="1178" t="s">
        <v>1578</v>
      </c>
      <c r="I129" s="1178"/>
      <c r="J129" s="1178"/>
      <c r="K129" s="1178"/>
    </row>
    <row r="130" spans="2:11">
      <c r="B130" s="1175">
        <v>440018380</v>
      </c>
      <c r="C130" s="1175" t="s">
        <v>935</v>
      </c>
      <c r="D130" s="1175" t="s">
        <v>1986</v>
      </c>
      <c r="F130" s="1175">
        <v>440040723</v>
      </c>
      <c r="G130" s="1175" t="s">
        <v>1145</v>
      </c>
      <c r="H130" s="1178" t="s">
        <v>1579</v>
      </c>
      <c r="I130" s="1178"/>
      <c r="J130" s="1178"/>
      <c r="K130" s="1178"/>
    </row>
    <row r="131" spans="2:11">
      <c r="B131" s="1175">
        <v>440018380</v>
      </c>
      <c r="C131" s="1175" t="s">
        <v>935</v>
      </c>
      <c r="D131" s="1175" t="s">
        <v>1986</v>
      </c>
      <c r="F131" s="1175">
        <v>440040723</v>
      </c>
      <c r="G131" s="1175" t="s">
        <v>1145</v>
      </c>
      <c r="H131" s="1178" t="s">
        <v>1579</v>
      </c>
      <c r="I131" s="1178"/>
      <c r="J131" s="1178"/>
      <c r="K131" s="1178"/>
    </row>
    <row r="132" spans="2:11">
      <c r="B132" s="1175">
        <v>440018380</v>
      </c>
      <c r="C132" s="1175" t="s">
        <v>935</v>
      </c>
      <c r="D132" s="1175" t="s">
        <v>1986</v>
      </c>
      <c r="F132" s="1175">
        <v>440046035</v>
      </c>
      <c r="G132" s="1175" t="s">
        <v>1146</v>
      </c>
      <c r="H132" s="1178" t="s">
        <v>1580</v>
      </c>
      <c r="I132" s="1178"/>
      <c r="J132" s="1178"/>
      <c r="K132" s="1178"/>
    </row>
    <row r="133" spans="2:11">
      <c r="B133" s="1175">
        <v>440018380</v>
      </c>
      <c r="C133" s="1175" t="s">
        <v>935</v>
      </c>
      <c r="D133" s="1175" t="s">
        <v>1986</v>
      </c>
      <c r="F133" s="1175">
        <v>440046035</v>
      </c>
      <c r="G133" s="1175" t="s">
        <v>1146</v>
      </c>
      <c r="H133" s="1178" t="s">
        <v>1580</v>
      </c>
      <c r="I133" s="1178"/>
      <c r="J133" s="1178"/>
      <c r="K133" s="1178"/>
    </row>
    <row r="134" spans="2:11">
      <c r="B134" s="1175">
        <v>440018380</v>
      </c>
      <c r="C134" s="1175" t="s">
        <v>935</v>
      </c>
      <c r="D134" s="1175" t="s">
        <v>1986</v>
      </c>
      <c r="F134" s="1175">
        <v>440046035</v>
      </c>
      <c r="G134" s="1175" t="s">
        <v>1146</v>
      </c>
      <c r="H134" s="1178" t="s">
        <v>1580</v>
      </c>
      <c r="I134" s="1178"/>
      <c r="J134" s="1178"/>
      <c r="K134" s="1178"/>
    </row>
    <row r="135" spans="2:11">
      <c r="B135" s="1175">
        <v>440018380</v>
      </c>
      <c r="C135" s="1175" t="s">
        <v>935</v>
      </c>
      <c r="D135" s="1175" t="s">
        <v>1986</v>
      </c>
      <c r="F135" s="1175">
        <v>440046878</v>
      </c>
      <c r="G135" s="1175" t="s">
        <v>1083</v>
      </c>
      <c r="H135" s="1178" t="s">
        <v>1581</v>
      </c>
      <c r="I135" s="1178"/>
      <c r="J135" s="1178"/>
      <c r="K135" s="1178"/>
    </row>
    <row r="136" spans="2:11">
      <c r="B136" s="1175">
        <v>440018380</v>
      </c>
      <c r="C136" s="1175" t="s">
        <v>935</v>
      </c>
      <c r="D136" s="1175" t="s">
        <v>1986</v>
      </c>
      <c r="F136" s="1175">
        <v>440050391</v>
      </c>
      <c r="G136" s="1175" t="s">
        <v>1072</v>
      </c>
      <c r="H136" s="1178" t="s">
        <v>1582</v>
      </c>
      <c r="I136" s="1178"/>
      <c r="J136" s="1178"/>
      <c r="K136" s="1178"/>
    </row>
    <row r="137" spans="2:11">
      <c r="B137" s="1175">
        <v>440018380</v>
      </c>
      <c r="C137" s="1175" t="s">
        <v>935</v>
      </c>
      <c r="D137" s="1175" t="s">
        <v>1986</v>
      </c>
      <c r="F137" s="1175">
        <v>440050995</v>
      </c>
      <c r="G137" s="1175" t="s">
        <v>1147</v>
      </c>
      <c r="H137" s="1178" t="s">
        <v>1583</v>
      </c>
      <c r="I137" s="1178"/>
      <c r="J137" s="1178"/>
      <c r="K137" s="1178"/>
    </row>
    <row r="138" spans="2:11">
      <c r="B138" s="1175">
        <v>440018380</v>
      </c>
      <c r="C138" s="1175" t="s">
        <v>935</v>
      </c>
      <c r="D138" s="1175" t="s">
        <v>1986</v>
      </c>
      <c r="F138" s="1175">
        <v>440052348</v>
      </c>
      <c r="G138" s="1175" t="s">
        <v>1148</v>
      </c>
      <c r="H138" s="1178" t="s">
        <v>1584</v>
      </c>
      <c r="I138" s="1178"/>
      <c r="J138" s="1178"/>
      <c r="K138" s="1178"/>
    </row>
    <row r="139" spans="2:11">
      <c r="B139" s="1175">
        <v>440018380</v>
      </c>
      <c r="C139" s="1175" t="s">
        <v>935</v>
      </c>
      <c r="D139" s="1175" t="s">
        <v>1986</v>
      </c>
      <c r="F139" s="1175">
        <v>440052348</v>
      </c>
      <c r="G139" s="1175" t="s">
        <v>1148</v>
      </c>
      <c r="H139" s="1178" t="s">
        <v>1584</v>
      </c>
      <c r="I139" s="1178"/>
      <c r="J139" s="1178"/>
      <c r="K139" s="1178"/>
    </row>
    <row r="140" spans="2:11">
      <c r="B140" s="1175">
        <v>440018380</v>
      </c>
      <c r="C140" s="1175" t="s">
        <v>935</v>
      </c>
      <c r="D140" s="1175" t="s">
        <v>1986</v>
      </c>
      <c r="F140" s="1175">
        <v>440052348</v>
      </c>
      <c r="G140" s="1175" t="s">
        <v>1148</v>
      </c>
      <c r="H140" s="1178" t="s">
        <v>1584</v>
      </c>
      <c r="I140" s="1178"/>
      <c r="J140" s="1178"/>
      <c r="K140" s="1178"/>
    </row>
    <row r="141" spans="2:11">
      <c r="B141" s="1175">
        <v>440018398</v>
      </c>
      <c r="C141" s="1175" t="s">
        <v>1035</v>
      </c>
      <c r="D141" s="1175" t="s">
        <v>1989</v>
      </c>
      <c r="F141" s="1175">
        <v>440000990</v>
      </c>
      <c r="G141" s="1175" t="s">
        <v>971</v>
      </c>
      <c r="H141" s="1178" t="s">
        <v>1585</v>
      </c>
      <c r="I141" s="1178"/>
      <c r="J141" s="1178"/>
      <c r="K141" s="1178"/>
    </row>
    <row r="142" spans="2:11">
      <c r="B142" s="1175">
        <v>440018398</v>
      </c>
      <c r="C142" s="1175" t="s">
        <v>1035</v>
      </c>
      <c r="D142" s="1175" t="s">
        <v>1989</v>
      </c>
      <c r="F142" s="1175">
        <v>440003226</v>
      </c>
      <c r="G142" s="1175" t="s">
        <v>1149</v>
      </c>
      <c r="H142" s="1178" t="s">
        <v>1586</v>
      </c>
      <c r="I142" s="1178"/>
      <c r="J142" s="1178"/>
      <c r="K142" s="1178"/>
    </row>
    <row r="143" spans="2:11">
      <c r="B143" s="1175">
        <v>440018398</v>
      </c>
      <c r="C143" s="1175" t="s">
        <v>1035</v>
      </c>
      <c r="D143" s="1175" t="s">
        <v>1989</v>
      </c>
      <c r="F143" s="1175">
        <v>440007540</v>
      </c>
      <c r="G143" s="1175" t="s">
        <v>1150</v>
      </c>
      <c r="H143" s="1178" t="s">
        <v>1587</v>
      </c>
      <c r="I143" s="1178"/>
      <c r="J143" s="1178"/>
      <c r="K143" s="1178"/>
    </row>
    <row r="144" spans="2:11">
      <c r="B144" s="1175">
        <v>440018398</v>
      </c>
      <c r="C144" s="1175" t="s">
        <v>1035</v>
      </c>
      <c r="D144" s="1175" t="s">
        <v>1989</v>
      </c>
      <c r="F144" s="1175">
        <v>440012706</v>
      </c>
      <c r="G144" s="1175" t="s">
        <v>1151</v>
      </c>
      <c r="H144" s="1178" t="s">
        <v>1588</v>
      </c>
      <c r="I144" s="1178"/>
      <c r="J144" s="1178"/>
      <c r="K144" s="1178"/>
    </row>
    <row r="145" spans="2:11">
      <c r="B145" s="1175">
        <v>440018380</v>
      </c>
      <c r="C145" s="1175" t="s">
        <v>935</v>
      </c>
      <c r="D145" s="1175" t="s">
        <v>1986</v>
      </c>
      <c r="F145" s="1175">
        <v>440003713</v>
      </c>
      <c r="G145" s="1175" t="s">
        <v>1152</v>
      </c>
      <c r="H145" s="1178" t="s">
        <v>1589</v>
      </c>
      <c r="I145" s="1178"/>
      <c r="J145" s="1178"/>
      <c r="K145" s="1178"/>
    </row>
    <row r="146" spans="2:11">
      <c r="B146" s="1175">
        <v>440018380</v>
      </c>
      <c r="C146" s="1175" t="s">
        <v>935</v>
      </c>
      <c r="D146" s="1175" t="s">
        <v>1986</v>
      </c>
      <c r="F146" s="1175">
        <v>440003739</v>
      </c>
      <c r="G146" s="1175" t="s">
        <v>1153</v>
      </c>
      <c r="H146" s="1178" t="s">
        <v>1590</v>
      </c>
      <c r="I146" s="1178"/>
      <c r="J146" s="1178"/>
      <c r="K146" s="1178"/>
    </row>
    <row r="147" spans="2:11">
      <c r="B147" s="1175">
        <v>440018380</v>
      </c>
      <c r="C147" s="1175" t="s">
        <v>935</v>
      </c>
      <c r="D147" s="1175" t="s">
        <v>1986</v>
      </c>
      <c r="F147" s="1175">
        <v>440005122</v>
      </c>
      <c r="G147" s="1175" t="s">
        <v>1154</v>
      </c>
      <c r="H147" s="1178" t="s">
        <v>1591</v>
      </c>
      <c r="I147" s="1178"/>
      <c r="J147" s="1178"/>
      <c r="K147" s="1178"/>
    </row>
    <row r="148" spans="2:11">
      <c r="B148" s="1175">
        <v>440018380</v>
      </c>
      <c r="C148" s="1175" t="s">
        <v>935</v>
      </c>
      <c r="D148" s="1175" t="s">
        <v>1986</v>
      </c>
      <c r="F148" s="1175">
        <v>440005122</v>
      </c>
      <c r="G148" s="1175" t="s">
        <v>1154</v>
      </c>
      <c r="H148" s="1178" t="s">
        <v>1591</v>
      </c>
      <c r="I148" s="1178"/>
      <c r="J148" s="1178"/>
      <c r="K148" s="1178"/>
    </row>
    <row r="149" spans="2:11">
      <c r="B149" s="1175">
        <v>440018380</v>
      </c>
      <c r="C149" s="1175" t="s">
        <v>935</v>
      </c>
      <c r="D149" s="1175" t="s">
        <v>1986</v>
      </c>
      <c r="F149" s="1175">
        <v>440005502</v>
      </c>
      <c r="G149" s="1175" t="s">
        <v>1155</v>
      </c>
      <c r="H149" s="1178" t="s">
        <v>1592</v>
      </c>
      <c r="I149" s="1178"/>
      <c r="J149" s="1178"/>
      <c r="K149" s="1178"/>
    </row>
    <row r="150" spans="2:11">
      <c r="B150" s="1175">
        <v>440018380</v>
      </c>
      <c r="C150" s="1175" t="s">
        <v>935</v>
      </c>
      <c r="D150" s="1175" t="s">
        <v>1986</v>
      </c>
      <c r="F150" s="1175">
        <v>440017945</v>
      </c>
      <c r="G150" s="1175" t="s">
        <v>1082</v>
      </c>
      <c r="H150" s="1178" t="s">
        <v>1593</v>
      </c>
      <c r="I150" s="1178"/>
      <c r="J150" s="1178"/>
      <c r="K150" s="1178"/>
    </row>
    <row r="151" spans="2:11">
      <c r="B151" s="1175">
        <v>440018380</v>
      </c>
      <c r="C151" s="1175" t="s">
        <v>935</v>
      </c>
      <c r="D151" s="1175" t="s">
        <v>1986</v>
      </c>
      <c r="F151" s="1175">
        <v>440017945</v>
      </c>
      <c r="G151" s="1175" t="s">
        <v>1082</v>
      </c>
      <c r="H151" s="1178" t="s">
        <v>1593</v>
      </c>
      <c r="I151" s="1178"/>
      <c r="J151" s="1178"/>
      <c r="K151" s="1178"/>
    </row>
    <row r="152" spans="2:11">
      <c r="B152" s="1175">
        <v>440018380</v>
      </c>
      <c r="C152" s="1175" t="s">
        <v>935</v>
      </c>
      <c r="D152" s="1175" t="s">
        <v>1986</v>
      </c>
      <c r="F152" s="1175">
        <v>440017945</v>
      </c>
      <c r="G152" s="1175" t="s">
        <v>1082</v>
      </c>
      <c r="H152" s="1178" t="s">
        <v>1593</v>
      </c>
      <c r="I152" s="1178"/>
      <c r="J152" s="1178"/>
      <c r="K152" s="1178"/>
    </row>
    <row r="153" spans="2:11">
      <c r="B153" s="1175">
        <v>440018380</v>
      </c>
      <c r="C153" s="1175" t="s">
        <v>935</v>
      </c>
      <c r="D153" s="1175" t="s">
        <v>1986</v>
      </c>
      <c r="F153" s="1175">
        <v>440017945</v>
      </c>
      <c r="G153" s="1175" t="s">
        <v>1082</v>
      </c>
      <c r="H153" s="1178" t="s">
        <v>1593</v>
      </c>
      <c r="I153" s="1178"/>
      <c r="J153" s="1178"/>
      <c r="K153" s="1178"/>
    </row>
    <row r="154" spans="2:11">
      <c r="B154" s="1175">
        <v>440018380</v>
      </c>
      <c r="C154" s="1175" t="s">
        <v>935</v>
      </c>
      <c r="D154" s="1175" t="s">
        <v>1986</v>
      </c>
      <c r="F154" s="1175">
        <v>440022523</v>
      </c>
      <c r="G154" s="1175" t="s">
        <v>1156</v>
      </c>
      <c r="H154" s="1178" t="s">
        <v>1594</v>
      </c>
      <c r="I154" s="1178"/>
      <c r="J154" s="1178"/>
      <c r="K154" s="1178"/>
    </row>
    <row r="155" spans="2:11">
      <c r="B155" s="1175">
        <v>440018380</v>
      </c>
      <c r="C155" s="1175" t="s">
        <v>935</v>
      </c>
      <c r="D155" s="1175" t="s">
        <v>1986</v>
      </c>
      <c r="F155" s="1175">
        <v>440026532</v>
      </c>
      <c r="G155" s="1175" t="s">
        <v>1157</v>
      </c>
      <c r="H155" s="1178" t="s">
        <v>1575</v>
      </c>
      <c r="I155" s="1178"/>
      <c r="J155" s="1178"/>
      <c r="K155" s="1178"/>
    </row>
    <row r="156" spans="2:11">
      <c r="B156" s="1175">
        <v>440018380</v>
      </c>
      <c r="C156" s="1175" t="s">
        <v>935</v>
      </c>
      <c r="D156" s="1175" t="s">
        <v>1986</v>
      </c>
      <c r="F156" s="1175">
        <v>440026557</v>
      </c>
      <c r="G156" s="1175" t="s">
        <v>1071</v>
      </c>
      <c r="H156" s="1178" t="s">
        <v>1569</v>
      </c>
      <c r="I156" s="1178"/>
      <c r="J156" s="1178"/>
      <c r="K156" s="1178"/>
    </row>
    <row r="157" spans="2:11">
      <c r="B157" s="1175">
        <v>440018380</v>
      </c>
      <c r="C157" s="1175" t="s">
        <v>935</v>
      </c>
      <c r="D157" s="1175" t="s">
        <v>1986</v>
      </c>
      <c r="F157" s="1175">
        <v>440026557</v>
      </c>
      <c r="G157" s="1175" t="s">
        <v>1071</v>
      </c>
      <c r="H157" s="1178" t="s">
        <v>1569</v>
      </c>
      <c r="I157" s="1178"/>
      <c r="J157" s="1178"/>
      <c r="K157" s="1178"/>
    </row>
    <row r="158" spans="2:11">
      <c r="B158" s="1175">
        <v>440018380</v>
      </c>
      <c r="C158" s="1175" t="s">
        <v>935</v>
      </c>
      <c r="D158" s="1175" t="s">
        <v>1986</v>
      </c>
      <c r="F158" s="1175">
        <v>440031458</v>
      </c>
      <c r="G158" s="1175" t="s">
        <v>1158</v>
      </c>
      <c r="H158" s="1178" t="s">
        <v>1595</v>
      </c>
      <c r="I158" s="1178"/>
      <c r="J158" s="1178"/>
      <c r="K158" s="1178"/>
    </row>
    <row r="159" spans="2:11">
      <c r="B159" s="1175">
        <v>440018380</v>
      </c>
      <c r="C159" s="1175" t="s">
        <v>935</v>
      </c>
      <c r="D159" s="1175" t="s">
        <v>1986</v>
      </c>
      <c r="F159" s="1175">
        <v>440031458</v>
      </c>
      <c r="G159" s="1175" t="s">
        <v>1158</v>
      </c>
      <c r="H159" s="1178" t="s">
        <v>1595</v>
      </c>
      <c r="I159" s="1178"/>
      <c r="J159" s="1178"/>
      <c r="K159" s="1178"/>
    </row>
    <row r="160" spans="2:11">
      <c r="B160" s="1175">
        <v>440018380</v>
      </c>
      <c r="C160" s="1175" t="s">
        <v>935</v>
      </c>
      <c r="D160" s="1175" t="s">
        <v>1986</v>
      </c>
      <c r="F160" s="1175">
        <v>440034692</v>
      </c>
      <c r="G160" s="1175" t="s">
        <v>1081</v>
      </c>
      <c r="H160" s="1178" t="s">
        <v>1577</v>
      </c>
      <c r="I160" s="1178"/>
      <c r="J160" s="1178"/>
      <c r="K160" s="1178"/>
    </row>
    <row r="161" spans="2:11">
      <c r="B161" s="1175">
        <v>440018380</v>
      </c>
      <c r="C161" s="1175" t="s">
        <v>935</v>
      </c>
      <c r="D161" s="1175" t="s">
        <v>1986</v>
      </c>
      <c r="F161" s="1175">
        <v>440034692</v>
      </c>
      <c r="G161" s="1175" t="s">
        <v>1081</v>
      </c>
      <c r="H161" s="1178" t="s">
        <v>1577</v>
      </c>
      <c r="I161" s="1178"/>
      <c r="J161" s="1178"/>
      <c r="K161" s="1178"/>
    </row>
    <row r="162" spans="2:11">
      <c r="B162" s="1175">
        <v>440018380</v>
      </c>
      <c r="C162" s="1175" t="s">
        <v>935</v>
      </c>
      <c r="D162" s="1175" t="s">
        <v>1986</v>
      </c>
      <c r="F162" s="1175">
        <v>440034700</v>
      </c>
      <c r="G162" s="1175" t="s">
        <v>1079</v>
      </c>
      <c r="H162" s="1178" t="s">
        <v>1565</v>
      </c>
      <c r="I162" s="1178"/>
      <c r="J162" s="1178"/>
      <c r="K162" s="1178"/>
    </row>
    <row r="163" spans="2:11">
      <c r="B163" s="1175">
        <v>440018380</v>
      </c>
      <c r="C163" s="1175" t="s">
        <v>935</v>
      </c>
      <c r="D163" s="1175" t="s">
        <v>1986</v>
      </c>
      <c r="F163" s="1175">
        <v>440035392</v>
      </c>
      <c r="G163" s="1175" t="s">
        <v>1159</v>
      </c>
      <c r="H163" s="1178" t="s">
        <v>1596</v>
      </c>
      <c r="I163" s="1178"/>
      <c r="J163" s="1178"/>
      <c r="K163" s="1178"/>
    </row>
    <row r="164" spans="2:11">
      <c r="B164" s="1175">
        <v>440018380</v>
      </c>
      <c r="C164" s="1175" t="s">
        <v>935</v>
      </c>
      <c r="D164" s="1175" t="s">
        <v>1986</v>
      </c>
      <c r="F164" s="1175">
        <v>440040970</v>
      </c>
      <c r="G164" s="1175" t="s">
        <v>1160</v>
      </c>
      <c r="H164" s="1178" t="s">
        <v>1597</v>
      </c>
      <c r="I164" s="1178"/>
      <c r="J164" s="1178"/>
      <c r="K164" s="1178"/>
    </row>
    <row r="165" spans="2:11">
      <c r="B165" s="1175">
        <v>440018380</v>
      </c>
      <c r="C165" s="1175" t="s">
        <v>935</v>
      </c>
      <c r="D165" s="1175" t="s">
        <v>1986</v>
      </c>
      <c r="F165" s="1175">
        <v>440044857</v>
      </c>
      <c r="G165" s="1175" t="s">
        <v>1161</v>
      </c>
      <c r="H165" s="1178" t="s">
        <v>1598</v>
      </c>
      <c r="I165" s="1178"/>
      <c r="J165" s="1178"/>
      <c r="K165" s="1178"/>
    </row>
    <row r="166" spans="2:11">
      <c r="B166" s="1175">
        <v>440018380</v>
      </c>
      <c r="C166" s="1175" t="s">
        <v>935</v>
      </c>
      <c r="D166" s="1175" t="s">
        <v>1986</v>
      </c>
      <c r="F166" s="1175">
        <v>440044857</v>
      </c>
      <c r="G166" s="1175" t="s">
        <v>1161</v>
      </c>
      <c r="H166" s="1178" t="s">
        <v>1598</v>
      </c>
      <c r="I166" s="1178"/>
      <c r="J166" s="1178"/>
      <c r="K166" s="1178"/>
    </row>
    <row r="167" spans="2:11">
      <c r="B167" s="1175">
        <v>440018380</v>
      </c>
      <c r="C167" s="1175" t="s">
        <v>935</v>
      </c>
      <c r="D167" s="1175" t="s">
        <v>1986</v>
      </c>
      <c r="F167" s="1175">
        <v>440044857</v>
      </c>
      <c r="G167" s="1175" t="s">
        <v>1161</v>
      </c>
      <c r="H167" s="1178" t="s">
        <v>1598</v>
      </c>
      <c r="I167" s="1178"/>
      <c r="J167" s="1178"/>
      <c r="K167" s="1178"/>
    </row>
    <row r="168" spans="2:11">
      <c r="B168" s="1175">
        <v>440018380</v>
      </c>
      <c r="C168" s="1175" t="s">
        <v>935</v>
      </c>
      <c r="D168" s="1175" t="s">
        <v>1986</v>
      </c>
      <c r="F168" s="1175">
        <v>440046878</v>
      </c>
      <c r="G168" s="1175" t="s">
        <v>1083</v>
      </c>
      <c r="H168" s="1178" t="s">
        <v>1581</v>
      </c>
      <c r="I168" s="1178"/>
      <c r="J168" s="1178"/>
      <c r="K168" s="1178"/>
    </row>
    <row r="169" spans="2:11">
      <c r="B169" s="1175">
        <v>440018380</v>
      </c>
      <c r="C169" s="1175" t="s">
        <v>935</v>
      </c>
      <c r="D169" s="1175" t="s">
        <v>1986</v>
      </c>
      <c r="F169" s="1175">
        <v>440046878</v>
      </c>
      <c r="G169" s="1175" t="s">
        <v>1083</v>
      </c>
      <c r="H169" s="1178" t="s">
        <v>1581</v>
      </c>
      <c r="I169" s="1178"/>
      <c r="J169" s="1178"/>
      <c r="K169" s="1178"/>
    </row>
    <row r="170" spans="2:11">
      <c r="B170" s="1175">
        <v>440018380</v>
      </c>
      <c r="C170" s="1175" t="s">
        <v>935</v>
      </c>
      <c r="D170" s="1175" t="s">
        <v>1986</v>
      </c>
      <c r="F170" s="1175">
        <v>440046878</v>
      </c>
      <c r="G170" s="1175" t="s">
        <v>1083</v>
      </c>
      <c r="H170" s="1178" t="s">
        <v>1581</v>
      </c>
      <c r="I170" s="1178"/>
      <c r="J170" s="1178"/>
      <c r="K170" s="1178"/>
    </row>
    <row r="171" spans="2:11">
      <c r="B171" s="1175">
        <v>440018380</v>
      </c>
      <c r="C171" s="1175" t="s">
        <v>935</v>
      </c>
      <c r="D171" s="1175" t="s">
        <v>1986</v>
      </c>
      <c r="F171" s="1175">
        <v>440046878</v>
      </c>
      <c r="G171" s="1175" t="s">
        <v>1083</v>
      </c>
      <c r="H171" s="1178" t="s">
        <v>1581</v>
      </c>
      <c r="I171" s="1178"/>
      <c r="J171" s="1178"/>
      <c r="K171" s="1178"/>
    </row>
    <row r="172" spans="2:11">
      <c r="B172" s="1175">
        <v>440018380</v>
      </c>
      <c r="C172" s="1175" t="s">
        <v>935</v>
      </c>
      <c r="D172" s="1175" t="s">
        <v>1986</v>
      </c>
      <c r="F172" s="1175">
        <v>440052355</v>
      </c>
      <c r="G172" s="1175" t="s">
        <v>1162</v>
      </c>
      <c r="H172" s="1178" t="s">
        <v>1599</v>
      </c>
      <c r="I172" s="1178"/>
      <c r="J172" s="1178"/>
      <c r="K172" s="1178"/>
    </row>
    <row r="173" spans="2:11">
      <c r="B173" s="1175">
        <v>440018380</v>
      </c>
      <c r="C173" s="1175" t="s">
        <v>935</v>
      </c>
      <c r="D173" s="1175" t="s">
        <v>1986</v>
      </c>
      <c r="F173" s="1175">
        <v>440053460</v>
      </c>
      <c r="G173" s="1175" t="s">
        <v>1163</v>
      </c>
      <c r="H173" s="1178" t="s">
        <v>1600</v>
      </c>
      <c r="I173" s="1178"/>
      <c r="J173" s="1178"/>
      <c r="K173" s="1178"/>
    </row>
    <row r="174" spans="2:11">
      <c r="B174" s="1175">
        <v>440018398</v>
      </c>
      <c r="C174" s="1175" t="s">
        <v>1035</v>
      </c>
      <c r="D174" s="1175" t="s">
        <v>1989</v>
      </c>
      <c r="F174" s="1175">
        <v>440000990</v>
      </c>
      <c r="G174" s="1175" t="s">
        <v>971</v>
      </c>
      <c r="H174" s="1178" t="s">
        <v>1585</v>
      </c>
      <c r="I174" s="1178"/>
      <c r="J174" s="1178"/>
      <c r="K174" s="1178"/>
    </row>
    <row r="175" spans="2:11">
      <c r="B175" s="1175">
        <v>440018398</v>
      </c>
      <c r="C175" s="1175" t="s">
        <v>1035</v>
      </c>
      <c r="D175" s="1175" t="s">
        <v>1989</v>
      </c>
      <c r="F175" s="1175">
        <v>440000990</v>
      </c>
      <c r="G175" s="1175" t="s">
        <v>971</v>
      </c>
      <c r="H175" s="1178" t="s">
        <v>1585</v>
      </c>
      <c r="I175" s="1178"/>
      <c r="J175" s="1178"/>
      <c r="K175" s="1178"/>
    </row>
    <row r="176" spans="2:11">
      <c r="B176" s="1175">
        <v>440018398</v>
      </c>
      <c r="C176" s="1175" t="s">
        <v>1035</v>
      </c>
      <c r="D176" s="1175" t="s">
        <v>1989</v>
      </c>
      <c r="F176" s="1175">
        <v>440000990</v>
      </c>
      <c r="G176" s="1175" t="s">
        <v>971</v>
      </c>
      <c r="H176" s="1178" t="s">
        <v>1585</v>
      </c>
      <c r="I176" s="1178"/>
      <c r="J176" s="1178"/>
      <c r="K176" s="1178"/>
    </row>
    <row r="177" spans="2:11">
      <c r="B177" s="1175">
        <v>440018398</v>
      </c>
      <c r="C177" s="1175" t="s">
        <v>1035</v>
      </c>
      <c r="D177" s="1175" t="s">
        <v>1989</v>
      </c>
      <c r="F177" s="1175">
        <v>440032290</v>
      </c>
      <c r="G177" s="1175" t="s">
        <v>1164</v>
      </c>
      <c r="H177" s="1178" t="s">
        <v>1601</v>
      </c>
      <c r="I177" s="1178"/>
      <c r="J177" s="1178"/>
      <c r="K177" s="1178"/>
    </row>
    <row r="178" spans="2:11">
      <c r="B178" s="1175">
        <v>440018398</v>
      </c>
      <c r="C178" s="1175" t="s">
        <v>1035</v>
      </c>
      <c r="D178" s="1175" t="s">
        <v>1989</v>
      </c>
      <c r="F178" s="1175">
        <v>440032290</v>
      </c>
      <c r="G178" s="1175" t="s">
        <v>1164</v>
      </c>
      <c r="H178" s="1178" t="s">
        <v>1601</v>
      </c>
      <c r="I178" s="1178"/>
      <c r="J178" s="1178"/>
      <c r="K178" s="1178"/>
    </row>
    <row r="179" spans="2:11">
      <c r="B179" s="1175">
        <v>440018398</v>
      </c>
      <c r="C179" s="1175" t="s">
        <v>1035</v>
      </c>
      <c r="D179" s="1175" t="s">
        <v>1989</v>
      </c>
      <c r="F179" s="1175">
        <v>440032290</v>
      </c>
      <c r="G179" s="1175" t="s">
        <v>1164</v>
      </c>
      <c r="H179" s="1178" t="s">
        <v>1601</v>
      </c>
      <c r="I179" s="1178"/>
      <c r="J179" s="1178"/>
      <c r="K179" s="1178"/>
    </row>
    <row r="180" spans="2:11">
      <c r="B180" s="1175">
        <v>440018398</v>
      </c>
      <c r="C180" s="1175" t="s">
        <v>1035</v>
      </c>
      <c r="D180" s="1175" t="s">
        <v>1989</v>
      </c>
      <c r="F180" s="1175">
        <v>440032969</v>
      </c>
      <c r="G180" s="1175" t="s">
        <v>1165</v>
      </c>
      <c r="H180" s="1178" t="s">
        <v>1602</v>
      </c>
      <c r="I180" s="1178"/>
      <c r="J180" s="1178"/>
      <c r="K180" s="1178"/>
    </row>
    <row r="181" spans="2:11">
      <c r="B181" s="1175">
        <v>440018398</v>
      </c>
      <c r="C181" s="1175" t="s">
        <v>1035</v>
      </c>
      <c r="D181" s="1175" t="s">
        <v>1989</v>
      </c>
      <c r="F181" s="1175">
        <v>440053478</v>
      </c>
      <c r="G181" s="1175" t="s">
        <v>960</v>
      </c>
      <c r="H181" s="1178" t="s">
        <v>1603</v>
      </c>
      <c r="I181" s="1178"/>
      <c r="J181" s="1178"/>
      <c r="K181" s="1178"/>
    </row>
    <row r="182" spans="2:11">
      <c r="B182" s="1175">
        <v>440018612</v>
      </c>
      <c r="C182" s="1175" t="s">
        <v>936</v>
      </c>
      <c r="D182" s="1175" t="s">
        <v>1990</v>
      </c>
      <c r="F182" s="1175">
        <v>440000198</v>
      </c>
      <c r="G182" s="1175" t="s">
        <v>1166</v>
      </c>
      <c r="H182" s="1178" t="s">
        <v>1604</v>
      </c>
      <c r="I182" s="1178"/>
      <c r="J182" s="1178"/>
      <c r="K182" s="1178"/>
    </row>
    <row r="183" spans="2:11">
      <c r="B183" s="1175">
        <v>440018612</v>
      </c>
      <c r="C183" s="1175" t="s">
        <v>936</v>
      </c>
      <c r="D183" s="1175" t="s">
        <v>1990</v>
      </c>
      <c r="F183" s="1175">
        <v>440000768</v>
      </c>
      <c r="G183" s="1175" t="s">
        <v>1167</v>
      </c>
      <c r="H183" s="1178" t="s">
        <v>1605</v>
      </c>
      <c r="I183" s="1178"/>
      <c r="J183" s="1178"/>
      <c r="K183" s="1178"/>
    </row>
    <row r="184" spans="2:11">
      <c r="B184" s="1175">
        <v>440018612</v>
      </c>
      <c r="C184" s="1175" t="s">
        <v>936</v>
      </c>
      <c r="D184" s="1175" t="s">
        <v>1990</v>
      </c>
      <c r="F184" s="1175">
        <v>440003911</v>
      </c>
      <c r="G184" s="1175" t="s">
        <v>1168</v>
      </c>
      <c r="H184" s="1178" t="s">
        <v>1606</v>
      </c>
      <c r="I184" s="1178"/>
      <c r="J184" s="1178"/>
      <c r="K184" s="1178"/>
    </row>
    <row r="185" spans="2:11">
      <c r="B185" s="1175">
        <v>440018612</v>
      </c>
      <c r="C185" s="1175" t="s">
        <v>936</v>
      </c>
      <c r="D185" s="1175" t="s">
        <v>1990</v>
      </c>
      <c r="F185" s="1175">
        <v>440003911</v>
      </c>
      <c r="G185" s="1175" t="s">
        <v>1168</v>
      </c>
      <c r="H185" s="1178" t="s">
        <v>1606</v>
      </c>
      <c r="I185" s="1178"/>
      <c r="J185" s="1178"/>
      <c r="K185" s="1178"/>
    </row>
    <row r="186" spans="2:11">
      <c r="B186" s="1175">
        <v>440018612</v>
      </c>
      <c r="C186" s="1175" t="s">
        <v>936</v>
      </c>
      <c r="D186" s="1175" t="s">
        <v>1990</v>
      </c>
      <c r="F186" s="1175">
        <v>440024685</v>
      </c>
      <c r="G186" s="1175" t="s">
        <v>1169</v>
      </c>
      <c r="H186" s="1178" t="s">
        <v>1607</v>
      </c>
      <c r="I186" s="1178"/>
      <c r="J186" s="1178"/>
      <c r="K186" s="1178"/>
    </row>
    <row r="187" spans="2:11">
      <c r="B187" s="1175">
        <v>440018612</v>
      </c>
      <c r="C187" s="1175" t="s">
        <v>936</v>
      </c>
      <c r="D187" s="1175" t="s">
        <v>1990</v>
      </c>
      <c r="F187" s="1175">
        <v>440026581</v>
      </c>
      <c r="G187" s="1175" t="s">
        <v>1170</v>
      </c>
      <c r="H187" s="1178" t="s">
        <v>1606</v>
      </c>
      <c r="I187" s="1178"/>
      <c r="J187" s="1178"/>
      <c r="K187" s="1178"/>
    </row>
    <row r="188" spans="2:11">
      <c r="B188" s="1175">
        <v>440018612</v>
      </c>
      <c r="C188" s="1175" t="s">
        <v>936</v>
      </c>
      <c r="D188" s="1175" t="s">
        <v>1990</v>
      </c>
      <c r="F188" s="1175">
        <v>440029593</v>
      </c>
      <c r="G188" s="1175" t="s">
        <v>1171</v>
      </c>
      <c r="H188" s="1178" t="s">
        <v>1608</v>
      </c>
      <c r="I188" s="1178"/>
      <c r="J188" s="1178"/>
      <c r="K188" s="1178"/>
    </row>
    <row r="189" spans="2:11">
      <c r="B189" s="1175">
        <v>440018612</v>
      </c>
      <c r="C189" s="1175" t="s">
        <v>936</v>
      </c>
      <c r="D189" s="1175" t="s">
        <v>1990</v>
      </c>
      <c r="F189" s="1175">
        <v>440029700</v>
      </c>
      <c r="G189" s="1175" t="s">
        <v>1172</v>
      </c>
      <c r="H189" s="1178" t="s">
        <v>1605</v>
      </c>
      <c r="I189" s="1178"/>
      <c r="J189" s="1178"/>
      <c r="K189" s="1178"/>
    </row>
    <row r="190" spans="2:11">
      <c r="B190" s="1175">
        <v>440018612</v>
      </c>
      <c r="C190" s="1175" t="s">
        <v>936</v>
      </c>
      <c r="D190" s="1175" t="s">
        <v>1990</v>
      </c>
      <c r="F190" s="1175">
        <v>440029726</v>
      </c>
      <c r="G190" s="1175" t="s">
        <v>1173</v>
      </c>
      <c r="H190" s="1178" t="s">
        <v>1608</v>
      </c>
      <c r="I190" s="1178"/>
      <c r="J190" s="1178"/>
      <c r="K190" s="1178"/>
    </row>
    <row r="191" spans="2:11">
      <c r="B191" s="1175">
        <v>440018612</v>
      </c>
      <c r="C191" s="1175" t="s">
        <v>936</v>
      </c>
      <c r="D191" s="1175" t="s">
        <v>1990</v>
      </c>
      <c r="F191" s="1175">
        <v>440037836</v>
      </c>
      <c r="G191" s="1175" t="s">
        <v>1174</v>
      </c>
      <c r="H191" s="1178" t="s">
        <v>1609</v>
      </c>
      <c r="I191" s="1178"/>
      <c r="J191" s="1178"/>
      <c r="K191" s="1178"/>
    </row>
    <row r="192" spans="2:11">
      <c r="B192" s="1175">
        <v>440018612</v>
      </c>
      <c r="C192" s="1175" t="s">
        <v>936</v>
      </c>
      <c r="D192" s="1175" t="s">
        <v>1990</v>
      </c>
      <c r="F192" s="1175">
        <v>440037836</v>
      </c>
      <c r="G192" s="1175" t="s">
        <v>1174</v>
      </c>
      <c r="H192" s="1178" t="s">
        <v>1609</v>
      </c>
      <c r="I192" s="1178"/>
      <c r="J192" s="1178"/>
      <c r="K192" s="1178"/>
    </row>
    <row r="193" spans="2:11">
      <c r="B193" s="1175">
        <v>440018612</v>
      </c>
      <c r="C193" s="1175" t="s">
        <v>936</v>
      </c>
      <c r="D193" s="1175" t="s">
        <v>1990</v>
      </c>
      <c r="F193" s="1175">
        <v>440040384</v>
      </c>
      <c r="G193" s="1175" t="s">
        <v>1175</v>
      </c>
      <c r="H193" s="1178" t="s">
        <v>1610</v>
      </c>
      <c r="I193" s="1178"/>
      <c r="J193" s="1178"/>
      <c r="K193" s="1178"/>
    </row>
    <row r="194" spans="2:11">
      <c r="B194" s="1175">
        <v>440018612</v>
      </c>
      <c r="C194" s="1175" t="s">
        <v>936</v>
      </c>
      <c r="D194" s="1175" t="s">
        <v>1990</v>
      </c>
      <c r="F194" s="1175">
        <v>440045045</v>
      </c>
      <c r="G194" s="1175" t="s">
        <v>1176</v>
      </c>
      <c r="H194" s="1178" t="s">
        <v>1609</v>
      </c>
      <c r="I194" s="1178"/>
      <c r="J194" s="1178"/>
      <c r="K194" s="1178"/>
    </row>
    <row r="195" spans="2:11">
      <c r="B195" s="1175">
        <v>440018612</v>
      </c>
      <c r="C195" s="1175" t="s">
        <v>936</v>
      </c>
      <c r="D195" s="1175" t="s">
        <v>1990</v>
      </c>
      <c r="F195" s="1175">
        <v>440053767</v>
      </c>
      <c r="G195" s="1175" t="s">
        <v>1177</v>
      </c>
      <c r="H195" s="1178" t="s">
        <v>1611</v>
      </c>
      <c r="I195" s="1178"/>
      <c r="J195" s="1178"/>
      <c r="K195" s="1178"/>
    </row>
    <row r="196" spans="2:11">
      <c r="B196" s="1175">
        <v>440018646</v>
      </c>
      <c r="C196" s="1175" t="s">
        <v>1178</v>
      </c>
      <c r="D196" s="1175" t="s">
        <v>1991</v>
      </c>
      <c r="F196" s="1175">
        <v>440052280</v>
      </c>
      <c r="G196" s="1175" t="s">
        <v>1179</v>
      </c>
      <c r="H196" s="1178" t="s">
        <v>1612</v>
      </c>
      <c r="I196" s="1178"/>
      <c r="J196" s="1178"/>
      <c r="K196" s="1178"/>
    </row>
    <row r="197" spans="2:11">
      <c r="B197" s="1175">
        <v>440018661</v>
      </c>
      <c r="C197" s="1175" t="s">
        <v>1180</v>
      </c>
      <c r="D197" s="1175" t="s">
        <v>1992</v>
      </c>
      <c r="F197" s="1175">
        <v>440000032</v>
      </c>
      <c r="G197" s="1175" t="s">
        <v>1010</v>
      </c>
      <c r="H197" s="1178" t="s">
        <v>1613</v>
      </c>
      <c r="I197" s="1178"/>
      <c r="J197" s="1178"/>
      <c r="K197" s="1178"/>
    </row>
    <row r="198" spans="2:11">
      <c r="B198" s="1175">
        <v>440018661</v>
      </c>
      <c r="C198" s="1175" t="s">
        <v>1180</v>
      </c>
      <c r="D198" s="1175" t="s">
        <v>1992</v>
      </c>
      <c r="F198" s="1175">
        <v>440000032</v>
      </c>
      <c r="G198" s="1175" t="s">
        <v>1010</v>
      </c>
      <c r="H198" s="1178" t="s">
        <v>1613</v>
      </c>
      <c r="I198" s="1178"/>
      <c r="J198" s="1178"/>
      <c r="K198" s="1178"/>
    </row>
    <row r="199" spans="2:11">
      <c r="B199" s="1175">
        <v>440018661</v>
      </c>
      <c r="C199" s="1175" t="s">
        <v>1180</v>
      </c>
      <c r="D199" s="1175" t="s">
        <v>1992</v>
      </c>
      <c r="F199" s="1175">
        <v>440000040</v>
      </c>
      <c r="G199" s="1175" t="s">
        <v>1181</v>
      </c>
      <c r="H199" s="1178" t="s">
        <v>1614</v>
      </c>
      <c r="I199" s="1178"/>
      <c r="J199" s="1178"/>
      <c r="K199" s="1178"/>
    </row>
    <row r="200" spans="2:11">
      <c r="B200" s="1175">
        <v>440018661</v>
      </c>
      <c r="C200" s="1175" t="s">
        <v>1180</v>
      </c>
      <c r="D200" s="1175" t="s">
        <v>1992</v>
      </c>
      <c r="F200" s="1175">
        <v>440040632</v>
      </c>
      <c r="G200" s="1175" t="s">
        <v>1182</v>
      </c>
      <c r="H200" s="1178" t="s">
        <v>1615</v>
      </c>
      <c r="I200" s="1178"/>
      <c r="J200" s="1178"/>
      <c r="K200" s="1178"/>
    </row>
    <row r="201" spans="2:11">
      <c r="B201" s="1175">
        <v>440018661</v>
      </c>
      <c r="C201" s="1175" t="s">
        <v>1180</v>
      </c>
      <c r="D201" s="1175" t="s">
        <v>1992</v>
      </c>
      <c r="F201" s="1175">
        <v>440040632</v>
      </c>
      <c r="G201" s="1175" t="s">
        <v>1182</v>
      </c>
      <c r="H201" s="1178" t="s">
        <v>1615</v>
      </c>
      <c r="I201" s="1178"/>
      <c r="J201" s="1178"/>
      <c r="K201" s="1178"/>
    </row>
    <row r="202" spans="2:11">
      <c r="B202" s="1175">
        <v>440018661</v>
      </c>
      <c r="C202" s="1175" t="s">
        <v>1180</v>
      </c>
      <c r="D202" s="1175" t="s">
        <v>1992</v>
      </c>
      <c r="F202" s="1175">
        <v>440040632</v>
      </c>
      <c r="G202" s="1175" t="s">
        <v>1182</v>
      </c>
      <c r="H202" s="1178" t="s">
        <v>1615</v>
      </c>
      <c r="I202" s="1178"/>
      <c r="J202" s="1178"/>
      <c r="K202" s="1178"/>
    </row>
    <row r="203" spans="2:11">
      <c r="B203" s="1175">
        <v>440018661</v>
      </c>
      <c r="C203" s="1175" t="s">
        <v>1180</v>
      </c>
      <c r="D203" s="1175" t="s">
        <v>1992</v>
      </c>
      <c r="F203" s="1175">
        <v>440041184</v>
      </c>
      <c r="G203" s="1175" t="s">
        <v>1183</v>
      </c>
      <c r="H203" s="1178" t="s">
        <v>1616</v>
      </c>
      <c r="I203" s="1178"/>
      <c r="J203" s="1178"/>
      <c r="K203" s="1178"/>
    </row>
    <row r="204" spans="2:11">
      <c r="B204" s="1175">
        <v>440018661</v>
      </c>
      <c r="C204" s="1175" t="s">
        <v>1180</v>
      </c>
      <c r="D204" s="1175" t="s">
        <v>1992</v>
      </c>
      <c r="F204" s="1175">
        <v>440053338</v>
      </c>
      <c r="G204" s="1175" t="s">
        <v>1184</v>
      </c>
      <c r="H204" s="1178" t="s">
        <v>1617</v>
      </c>
      <c r="I204" s="1178"/>
      <c r="J204" s="1178"/>
      <c r="K204" s="1178"/>
    </row>
    <row r="205" spans="2:11">
      <c r="B205" s="1175">
        <v>440026730</v>
      </c>
      <c r="C205" s="1175" t="s">
        <v>1066</v>
      </c>
      <c r="D205" s="1175" t="s">
        <v>1993</v>
      </c>
      <c r="F205" s="1175">
        <v>440040392</v>
      </c>
      <c r="G205" s="1175" t="s">
        <v>1185</v>
      </c>
      <c r="H205" s="1178" t="s">
        <v>1618</v>
      </c>
      <c r="I205" s="1178"/>
      <c r="J205" s="1178"/>
      <c r="K205" s="1178"/>
    </row>
    <row r="206" spans="2:11">
      <c r="B206" s="1175">
        <v>440030229</v>
      </c>
      <c r="C206" s="1175" t="s">
        <v>1186</v>
      </c>
      <c r="D206" s="1175" t="s">
        <v>1994</v>
      </c>
      <c r="F206" s="1175">
        <v>440043727</v>
      </c>
      <c r="G206" s="1175" t="s">
        <v>1187</v>
      </c>
      <c r="H206" s="1178" t="s">
        <v>1619</v>
      </c>
      <c r="I206" s="1178"/>
      <c r="J206" s="1178"/>
      <c r="K206" s="1178"/>
    </row>
    <row r="207" spans="2:11">
      <c r="B207" s="1175">
        <v>440030229</v>
      </c>
      <c r="C207" s="1175" t="s">
        <v>1186</v>
      </c>
      <c r="D207" s="1175" t="s">
        <v>1994</v>
      </c>
      <c r="F207" s="1175">
        <v>440043727</v>
      </c>
      <c r="G207" s="1175" t="s">
        <v>1187</v>
      </c>
      <c r="H207" s="1178" t="s">
        <v>1619</v>
      </c>
      <c r="I207" s="1178"/>
      <c r="J207" s="1178"/>
      <c r="K207" s="1178"/>
    </row>
    <row r="208" spans="2:11">
      <c r="B208" s="1175">
        <v>440033389</v>
      </c>
      <c r="C208" s="1175" t="s">
        <v>937</v>
      </c>
      <c r="D208" s="1175" t="s">
        <v>1995</v>
      </c>
      <c r="F208" s="1175">
        <v>440042430</v>
      </c>
      <c r="G208" s="1175" t="s">
        <v>1188</v>
      </c>
      <c r="H208" s="1178" t="s">
        <v>1620</v>
      </c>
      <c r="I208" s="1178"/>
      <c r="J208" s="1178"/>
      <c r="K208" s="1178"/>
    </row>
    <row r="209" spans="2:11">
      <c r="B209" s="1175">
        <v>440033389</v>
      </c>
      <c r="C209" s="1175" t="s">
        <v>937</v>
      </c>
      <c r="D209" s="1175" t="s">
        <v>1995</v>
      </c>
      <c r="F209" s="1175">
        <v>440042430</v>
      </c>
      <c r="G209" s="1175" t="s">
        <v>1188</v>
      </c>
      <c r="H209" s="1178" t="s">
        <v>1620</v>
      </c>
      <c r="I209" s="1178"/>
      <c r="J209" s="1178"/>
      <c r="K209" s="1178"/>
    </row>
    <row r="210" spans="2:11">
      <c r="B210" s="1175">
        <v>440033389</v>
      </c>
      <c r="C210" s="1175" t="s">
        <v>937</v>
      </c>
      <c r="D210" s="1175" t="s">
        <v>1995</v>
      </c>
      <c r="F210" s="1175">
        <v>440042430</v>
      </c>
      <c r="G210" s="1175" t="s">
        <v>1188</v>
      </c>
      <c r="H210" s="1178" t="s">
        <v>1620</v>
      </c>
      <c r="I210" s="1178"/>
      <c r="J210" s="1178"/>
      <c r="K210" s="1178"/>
    </row>
    <row r="211" spans="2:11">
      <c r="B211" s="1175">
        <v>440033389</v>
      </c>
      <c r="C211" s="1175" t="s">
        <v>937</v>
      </c>
      <c r="D211" s="1175" t="s">
        <v>1995</v>
      </c>
      <c r="F211" s="1175">
        <v>440042463</v>
      </c>
      <c r="G211" s="1175" t="s">
        <v>1189</v>
      </c>
      <c r="H211" s="1178" t="s">
        <v>1620</v>
      </c>
      <c r="I211" s="1178"/>
      <c r="J211" s="1178"/>
      <c r="K211" s="1178"/>
    </row>
    <row r="212" spans="2:11">
      <c r="B212" s="1175">
        <v>440041101</v>
      </c>
      <c r="C212" s="1175" t="s">
        <v>1057</v>
      </c>
      <c r="D212" s="1175" t="s">
        <v>1996</v>
      </c>
      <c r="F212" s="1175">
        <v>440023836</v>
      </c>
      <c r="G212" s="1175" t="s">
        <v>1057</v>
      </c>
      <c r="H212" s="1178" t="s">
        <v>1621</v>
      </c>
      <c r="I212" s="1178"/>
      <c r="J212" s="1178"/>
      <c r="K212" s="1178"/>
    </row>
    <row r="213" spans="2:11">
      <c r="B213" s="1175">
        <v>440041101</v>
      </c>
      <c r="C213" s="1175" t="s">
        <v>1057</v>
      </c>
      <c r="D213" s="1175" t="s">
        <v>1996</v>
      </c>
      <c r="F213" s="1175">
        <v>440023836</v>
      </c>
      <c r="G213" s="1175" t="s">
        <v>1057</v>
      </c>
      <c r="H213" s="1178" t="s">
        <v>1621</v>
      </c>
      <c r="I213" s="1178"/>
      <c r="J213" s="1178"/>
      <c r="K213" s="1178"/>
    </row>
    <row r="214" spans="2:11">
      <c r="B214" s="1175">
        <v>440041101</v>
      </c>
      <c r="C214" s="1175" t="s">
        <v>1057</v>
      </c>
      <c r="D214" s="1175" t="s">
        <v>1996</v>
      </c>
      <c r="F214" s="1175">
        <v>440023836</v>
      </c>
      <c r="G214" s="1175" t="s">
        <v>1057</v>
      </c>
      <c r="H214" s="1178" t="s">
        <v>1621</v>
      </c>
      <c r="I214" s="1178"/>
      <c r="J214" s="1178"/>
      <c r="K214" s="1178"/>
    </row>
    <row r="215" spans="2:11">
      <c r="B215" s="1175">
        <v>440041101</v>
      </c>
      <c r="C215" s="1175" t="s">
        <v>1057</v>
      </c>
      <c r="D215" s="1175" t="s">
        <v>1996</v>
      </c>
      <c r="F215" s="1175">
        <v>440023836</v>
      </c>
      <c r="G215" s="1175" t="s">
        <v>1057</v>
      </c>
      <c r="H215" s="1178" t="s">
        <v>1621</v>
      </c>
      <c r="I215" s="1178"/>
      <c r="J215" s="1178"/>
      <c r="K215" s="1178"/>
    </row>
    <row r="216" spans="2:11">
      <c r="B216" s="1175">
        <v>440041101</v>
      </c>
      <c r="C216" s="1175" t="s">
        <v>1057</v>
      </c>
      <c r="D216" s="1175" t="s">
        <v>1996</v>
      </c>
      <c r="F216" s="1175">
        <v>440046787</v>
      </c>
      <c r="G216" s="1175" t="s">
        <v>1190</v>
      </c>
      <c r="H216" s="1178" t="s">
        <v>1622</v>
      </c>
      <c r="I216" s="1178"/>
      <c r="J216" s="1178"/>
      <c r="K216" s="1178"/>
    </row>
    <row r="217" spans="2:11">
      <c r="B217" s="1175">
        <v>440018612</v>
      </c>
      <c r="C217" s="1175" t="s">
        <v>936</v>
      </c>
      <c r="D217" s="1175" t="s">
        <v>1990</v>
      </c>
      <c r="F217" s="1175">
        <v>440007698</v>
      </c>
      <c r="G217" s="1175" t="s">
        <v>1191</v>
      </c>
      <c r="H217" s="1178" t="s">
        <v>1623</v>
      </c>
      <c r="I217" s="1178"/>
      <c r="J217" s="1178"/>
      <c r="K217" s="1178"/>
    </row>
    <row r="218" spans="2:11">
      <c r="B218" s="1175">
        <v>440018612</v>
      </c>
      <c r="C218" s="1175" t="s">
        <v>936</v>
      </c>
      <c r="D218" s="1175" t="s">
        <v>1990</v>
      </c>
      <c r="F218" s="1175">
        <v>440012003</v>
      </c>
      <c r="G218" s="1175" t="s">
        <v>1192</v>
      </c>
      <c r="H218" s="1178" t="s">
        <v>1624</v>
      </c>
      <c r="I218" s="1178"/>
      <c r="J218" s="1178"/>
      <c r="K218" s="1178"/>
    </row>
    <row r="219" spans="2:11">
      <c r="B219" s="1175">
        <v>440018612</v>
      </c>
      <c r="C219" s="1175" t="s">
        <v>936</v>
      </c>
      <c r="D219" s="1175" t="s">
        <v>1990</v>
      </c>
      <c r="F219" s="1175">
        <v>440013456</v>
      </c>
      <c r="G219" s="1175" t="s">
        <v>1193</v>
      </c>
      <c r="H219" s="1178" t="s">
        <v>1608</v>
      </c>
      <c r="I219" s="1178"/>
      <c r="J219" s="1178"/>
      <c r="K219" s="1178"/>
    </row>
    <row r="220" spans="2:11">
      <c r="B220" s="1175">
        <v>440018612</v>
      </c>
      <c r="C220" s="1175" t="s">
        <v>936</v>
      </c>
      <c r="D220" s="1175" t="s">
        <v>1990</v>
      </c>
      <c r="F220" s="1175">
        <v>440020865</v>
      </c>
      <c r="G220" s="1175" t="s">
        <v>1194</v>
      </c>
      <c r="H220" s="1178" t="s">
        <v>1625</v>
      </c>
      <c r="I220" s="1178"/>
      <c r="J220" s="1178"/>
      <c r="K220" s="1178"/>
    </row>
    <row r="221" spans="2:11">
      <c r="B221" s="1175">
        <v>440018612</v>
      </c>
      <c r="C221" s="1175" t="s">
        <v>936</v>
      </c>
      <c r="D221" s="1175" t="s">
        <v>1990</v>
      </c>
      <c r="F221" s="1175">
        <v>440020865</v>
      </c>
      <c r="G221" s="1175" t="s">
        <v>1194</v>
      </c>
      <c r="H221" s="1178" t="s">
        <v>1625</v>
      </c>
      <c r="I221" s="1178"/>
      <c r="J221" s="1178"/>
      <c r="K221" s="1178"/>
    </row>
    <row r="222" spans="2:11">
      <c r="B222" s="1175">
        <v>440018612</v>
      </c>
      <c r="C222" s="1175" t="s">
        <v>936</v>
      </c>
      <c r="D222" s="1175" t="s">
        <v>1990</v>
      </c>
      <c r="F222" s="1175">
        <v>440029890</v>
      </c>
      <c r="G222" s="1175" t="s">
        <v>1195</v>
      </c>
      <c r="H222" s="1178" t="s">
        <v>1605</v>
      </c>
      <c r="I222" s="1178"/>
      <c r="J222" s="1178"/>
      <c r="K222" s="1178"/>
    </row>
    <row r="223" spans="2:11">
      <c r="B223" s="1175">
        <v>440018612</v>
      </c>
      <c r="C223" s="1175" t="s">
        <v>936</v>
      </c>
      <c r="D223" s="1175" t="s">
        <v>1990</v>
      </c>
      <c r="F223" s="1175">
        <v>440030112</v>
      </c>
      <c r="G223" s="1175" t="s">
        <v>1196</v>
      </c>
      <c r="H223" s="1178" t="s">
        <v>1608</v>
      </c>
      <c r="I223" s="1178"/>
      <c r="J223" s="1178"/>
      <c r="K223" s="1178"/>
    </row>
    <row r="224" spans="2:11">
      <c r="B224" s="1175">
        <v>440018612</v>
      </c>
      <c r="C224" s="1175" t="s">
        <v>936</v>
      </c>
      <c r="D224" s="1175" t="s">
        <v>1990</v>
      </c>
      <c r="F224" s="1175">
        <v>440030112</v>
      </c>
      <c r="G224" s="1175" t="s">
        <v>1196</v>
      </c>
      <c r="H224" s="1178" t="s">
        <v>1608</v>
      </c>
      <c r="I224" s="1178"/>
      <c r="J224" s="1178"/>
      <c r="K224" s="1178"/>
    </row>
    <row r="225" spans="2:11">
      <c r="B225" s="1175">
        <v>440018612</v>
      </c>
      <c r="C225" s="1175" t="s">
        <v>936</v>
      </c>
      <c r="D225" s="1175" t="s">
        <v>1990</v>
      </c>
      <c r="F225" s="1175">
        <v>440034395</v>
      </c>
      <c r="G225" s="1175" t="s">
        <v>1197</v>
      </c>
      <c r="H225" s="1178" t="s">
        <v>1626</v>
      </c>
      <c r="I225" s="1178"/>
      <c r="J225" s="1178"/>
      <c r="K225" s="1178"/>
    </row>
    <row r="226" spans="2:11">
      <c r="B226" s="1175">
        <v>440018612</v>
      </c>
      <c r="C226" s="1175" t="s">
        <v>936</v>
      </c>
      <c r="D226" s="1175" t="s">
        <v>1990</v>
      </c>
      <c r="F226" s="1175">
        <v>440037836</v>
      </c>
      <c r="G226" s="1175" t="s">
        <v>1174</v>
      </c>
      <c r="H226" s="1178" t="s">
        <v>1609</v>
      </c>
      <c r="I226" s="1178"/>
      <c r="J226" s="1178"/>
      <c r="K226" s="1178"/>
    </row>
    <row r="227" spans="2:11">
      <c r="B227" s="1175">
        <v>440018612</v>
      </c>
      <c r="C227" s="1175" t="s">
        <v>936</v>
      </c>
      <c r="D227" s="1175" t="s">
        <v>1990</v>
      </c>
      <c r="F227" s="1175">
        <v>440053767</v>
      </c>
      <c r="G227" s="1175" t="s">
        <v>1177</v>
      </c>
      <c r="H227" s="1178" t="s">
        <v>1611</v>
      </c>
      <c r="I227" s="1178"/>
      <c r="J227" s="1178"/>
      <c r="K227" s="1178"/>
    </row>
    <row r="228" spans="2:11">
      <c r="B228" s="1175">
        <v>440018612</v>
      </c>
      <c r="C228" s="1175" t="s">
        <v>936</v>
      </c>
      <c r="D228" s="1175" t="s">
        <v>1990</v>
      </c>
      <c r="F228" s="1175">
        <v>440053866</v>
      </c>
      <c r="G228" s="1175" t="s">
        <v>1198</v>
      </c>
      <c r="H228" s="1178" t="s">
        <v>1627</v>
      </c>
      <c r="I228" s="1178"/>
      <c r="J228" s="1178"/>
      <c r="K228" s="1178"/>
    </row>
    <row r="229" spans="2:11">
      <c r="B229" s="1175">
        <v>440018646</v>
      </c>
      <c r="C229" s="1175" t="s">
        <v>1178</v>
      </c>
      <c r="D229" s="1175" t="s">
        <v>1991</v>
      </c>
      <c r="F229" s="1175">
        <v>440001162</v>
      </c>
      <c r="G229" s="1175" t="s">
        <v>1199</v>
      </c>
      <c r="H229" s="1178" t="s">
        <v>1628</v>
      </c>
      <c r="I229" s="1178"/>
      <c r="J229" s="1178"/>
      <c r="K229" s="1178"/>
    </row>
    <row r="230" spans="2:11">
      <c r="B230" s="1175">
        <v>440018646</v>
      </c>
      <c r="C230" s="1175" t="s">
        <v>1178</v>
      </c>
      <c r="D230" s="1175" t="s">
        <v>1991</v>
      </c>
      <c r="F230" s="1175">
        <v>440001162</v>
      </c>
      <c r="G230" s="1175" t="s">
        <v>1199</v>
      </c>
      <c r="H230" s="1178" t="s">
        <v>1628</v>
      </c>
      <c r="I230" s="1178"/>
      <c r="J230" s="1178"/>
      <c r="K230" s="1178"/>
    </row>
    <row r="231" spans="2:11">
      <c r="B231" s="1175">
        <v>440018646</v>
      </c>
      <c r="C231" s="1175" t="s">
        <v>1178</v>
      </c>
      <c r="D231" s="1175" t="s">
        <v>1991</v>
      </c>
      <c r="F231" s="1175">
        <v>440001162</v>
      </c>
      <c r="G231" s="1175" t="s">
        <v>1199</v>
      </c>
      <c r="H231" s="1178" t="s">
        <v>1628</v>
      </c>
      <c r="I231" s="1178"/>
      <c r="J231" s="1178"/>
      <c r="K231" s="1178"/>
    </row>
    <row r="232" spans="2:11">
      <c r="B232" s="1175">
        <v>440018661</v>
      </c>
      <c r="C232" s="1175" t="s">
        <v>1180</v>
      </c>
      <c r="D232" s="1175" t="s">
        <v>1992</v>
      </c>
      <c r="F232" s="1175">
        <v>440000040</v>
      </c>
      <c r="G232" s="1175" t="s">
        <v>1181</v>
      </c>
      <c r="H232" s="1178" t="s">
        <v>1614</v>
      </c>
      <c r="I232" s="1178"/>
      <c r="J232" s="1178"/>
      <c r="K232" s="1178"/>
    </row>
    <row r="233" spans="2:11">
      <c r="B233" s="1175">
        <v>440018661</v>
      </c>
      <c r="C233" s="1175" t="s">
        <v>1180</v>
      </c>
      <c r="D233" s="1175" t="s">
        <v>1992</v>
      </c>
      <c r="F233" s="1175">
        <v>440040632</v>
      </c>
      <c r="G233" s="1175" t="s">
        <v>1182</v>
      </c>
      <c r="H233" s="1178" t="s">
        <v>1615</v>
      </c>
      <c r="I233" s="1178"/>
      <c r="J233" s="1178"/>
      <c r="K233" s="1178"/>
    </row>
    <row r="234" spans="2:11">
      <c r="B234" s="1175">
        <v>440018661</v>
      </c>
      <c r="C234" s="1175" t="s">
        <v>1180</v>
      </c>
      <c r="D234" s="1175" t="s">
        <v>1992</v>
      </c>
      <c r="F234" s="1175">
        <v>440040632</v>
      </c>
      <c r="G234" s="1175" t="s">
        <v>1182</v>
      </c>
      <c r="H234" s="1178" t="s">
        <v>1615</v>
      </c>
      <c r="I234" s="1178"/>
      <c r="J234" s="1178"/>
      <c r="K234" s="1178"/>
    </row>
    <row r="235" spans="2:11">
      <c r="B235" s="1175">
        <v>440018661</v>
      </c>
      <c r="C235" s="1175" t="s">
        <v>1180</v>
      </c>
      <c r="D235" s="1175" t="s">
        <v>1992</v>
      </c>
      <c r="F235" s="1175">
        <v>440040632</v>
      </c>
      <c r="G235" s="1175" t="s">
        <v>1182</v>
      </c>
      <c r="H235" s="1178" t="s">
        <v>1615</v>
      </c>
      <c r="I235" s="1178"/>
      <c r="J235" s="1178"/>
      <c r="K235" s="1178"/>
    </row>
    <row r="236" spans="2:11">
      <c r="B236" s="1175">
        <v>440018661</v>
      </c>
      <c r="C236" s="1175" t="s">
        <v>1180</v>
      </c>
      <c r="D236" s="1175" t="s">
        <v>1992</v>
      </c>
      <c r="F236" s="1175">
        <v>440042786</v>
      </c>
      <c r="G236" s="1175" t="s">
        <v>998</v>
      </c>
      <c r="H236" s="1178" t="s">
        <v>1629</v>
      </c>
      <c r="I236" s="1178"/>
      <c r="J236" s="1178"/>
      <c r="K236" s="1178"/>
    </row>
    <row r="237" spans="2:11">
      <c r="B237" s="1175">
        <v>440018661</v>
      </c>
      <c r="C237" s="1175" t="s">
        <v>1180</v>
      </c>
      <c r="D237" s="1175" t="s">
        <v>1992</v>
      </c>
      <c r="F237" s="1175">
        <v>440052835</v>
      </c>
      <c r="G237" s="1175" t="s">
        <v>1184</v>
      </c>
      <c r="H237" s="1178" t="s">
        <v>1630</v>
      </c>
      <c r="I237" s="1178"/>
      <c r="J237" s="1178"/>
      <c r="K237" s="1178"/>
    </row>
    <row r="238" spans="2:11">
      <c r="B238" s="1175">
        <v>440018661</v>
      </c>
      <c r="C238" s="1175" t="s">
        <v>1180</v>
      </c>
      <c r="D238" s="1175" t="s">
        <v>1992</v>
      </c>
      <c r="F238" s="1175">
        <v>440053130</v>
      </c>
      <c r="G238" s="1175" t="s">
        <v>1014</v>
      </c>
      <c r="H238" s="1178" t="s">
        <v>1631</v>
      </c>
      <c r="I238" s="1178"/>
      <c r="J238" s="1178"/>
      <c r="K238" s="1178"/>
    </row>
    <row r="239" spans="2:11">
      <c r="B239" s="1175">
        <v>440018661</v>
      </c>
      <c r="C239" s="1175" t="s">
        <v>1180</v>
      </c>
      <c r="D239" s="1175" t="s">
        <v>1992</v>
      </c>
      <c r="F239" s="1175">
        <v>440053338</v>
      </c>
      <c r="G239" s="1175" t="s">
        <v>1184</v>
      </c>
      <c r="H239" s="1178" t="s">
        <v>1617</v>
      </c>
      <c r="I239" s="1178"/>
      <c r="J239" s="1178"/>
      <c r="K239" s="1178"/>
    </row>
    <row r="240" spans="2:11">
      <c r="B240" s="1175">
        <v>440031169</v>
      </c>
      <c r="C240" s="1175" t="s">
        <v>1200</v>
      </c>
      <c r="D240" s="1175" t="s">
        <v>1997</v>
      </c>
      <c r="F240" s="1175">
        <v>440045268</v>
      </c>
      <c r="G240" s="1175" t="s">
        <v>1201</v>
      </c>
      <c r="H240" s="1178" t="s">
        <v>1632</v>
      </c>
      <c r="I240" s="1178"/>
      <c r="J240" s="1178"/>
      <c r="K240" s="1178"/>
    </row>
    <row r="241" spans="2:11">
      <c r="B241" s="1175">
        <v>440031169</v>
      </c>
      <c r="C241" s="1175" t="s">
        <v>1200</v>
      </c>
      <c r="D241" s="1175" t="s">
        <v>1997</v>
      </c>
      <c r="F241" s="1175">
        <v>440045268</v>
      </c>
      <c r="G241" s="1175" t="s">
        <v>1201</v>
      </c>
      <c r="H241" s="1178" t="s">
        <v>1632</v>
      </c>
      <c r="I241" s="1178"/>
      <c r="J241" s="1178"/>
      <c r="K241" s="1178"/>
    </row>
    <row r="242" spans="2:11">
      <c r="B242" s="1175">
        <v>440033389</v>
      </c>
      <c r="C242" s="1175" t="s">
        <v>937</v>
      </c>
      <c r="D242" s="1175" t="s">
        <v>1995</v>
      </c>
      <c r="F242" s="1175">
        <v>440033397</v>
      </c>
      <c r="G242" s="1175" t="s">
        <v>1202</v>
      </c>
      <c r="H242" s="1178" t="s">
        <v>1633</v>
      </c>
      <c r="I242" s="1178"/>
      <c r="J242" s="1178"/>
      <c r="K242" s="1178"/>
    </row>
    <row r="243" spans="2:11">
      <c r="B243" s="1175">
        <v>440033389</v>
      </c>
      <c r="C243" s="1175" t="s">
        <v>937</v>
      </c>
      <c r="D243" s="1175" t="s">
        <v>1995</v>
      </c>
      <c r="F243" s="1175">
        <v>440040400</v>
      </c>
      <c r="G243" s="1175" t="s">
        <v>1203</v>
      </c>
      <c r="H243" s="1178" t="s">
        <v>1634</v>
      </c>
      <c r="I243" s="1178"/>
      <c r="J243" s="1178"/>
      <c r="K243" s="1178"/>
    </row>
    <row r="244" spans="2:11">
      <c r="B244" s="1175">
        <v>440033389</v>
      </c>
      <c r="C244" s="1175" t="s">
        <v>937</v>
      </c>
      <c r="D244" s="1175" t="s">
        <v>1995</v>
      </c>
      <c r="F244" s="1175">
        <v>440042463</v>
      </c>
      <c r="G244" s="1175" t="s">
        <v>1189</v>
      </c>
      <c r="H244" s="1178" t="s">
        <v>1620</v>
      </c>
      <c r="I244" s="1178"/>
      <c r="J244" s="1178"/>
      <c r="K244" s="1178"/>
    </row>
    <row r="245" spans="2:11">
      <c r="B245" s="1175">
        <v>440033884</v>
      </c>
      <c r="C245" s="1175" t="s">
        <v>1065</v>
      </c>
      <c r="D245" s="1175" t="s">
        <v>1998</v>
      </c>
      <c r="F245" s="1175">
        <v>440033892</v>
      </c>
      <c r="G245" s="1175" t="s">
        <v>1204</v>
      </c>
      <c r="H245" s="1178" t="s">
        <v>1635</v>
      </c>
      <c r="I245" s="1178"/>
      <c r="J245" s="1178"/>
      <c r="K245" s="1178"/>
    </row>
    <row r="246" spans="2:11">
      <c r="B246" s="1175">
        <v>440033884</v>
      </c>
      <c r="C246" s="1175" t="s">
        <v>1065</v>
      </c>
      <c r="D246" s="1175" t="s">
        <v>1998</v>
      </c>
      <c r="F246" s="1175">
        <v>440037810</v>
      </c>
      <c r="G246" s="1175" t="s">
        <v>1205</v>
      </c>
      <c r="H246" s="1178" t="s">
        <v>1636</v>
      </c>
      <c r="I246" s="1178"/>
      <c r="J246" s="1178"/>
      <c r="K246" s="1178"/>
    </row>
    <row r="247" spans="2:11">
      <c r="B247" s="1175">
        <v>440033884</v>
      </c>
      <c r="C247" s="1175" t="s">
        <v>1065</v>
      </c>
      <c r="D247" s="1175" t="s">
        <v>1998</v>
      </c>
      <c r="F247" s="1175">
        <v>440046126</v>
      </c>
      <c r="G247" s="1175" t="s">
        <v>1206</v>
      </c>
      <c r="H247" s="1178" t="s">
        <v>1636</v>
      </c>
      <c r="I247" s="1178"/>
      <c r="J247" s="1178"/>
      <c r="K247" s="1178"/>
    </row>
    <row r="248" spans="2:11">
      <c r="B248" s="1175">
        <v>440041101</v>
      </c>
      <c r="C248" s="1175" t="s">
        <v>1057</v>
      </c>
      <c r="D248" s="1175" t="s">
        <v>1996</v>
      </c>
      <c r="F248" s="1175">
        <v>440023836</v>
      </c>
      <c r="G248" s="1175" t="s">
        <v>1057</v>
      </c>
      <c r="H248" s="1178" t="s">
        <v>1621</v>
      </c>
      <c r="I248" s="1178"/>
      <c r="J248" s="1178"/>
      <c r="K248" s="1178"/>
    </row>
    <row r="249" spans="2:11">
      <c r="B249" s="1175">
        <v>440041101</v>
      </c>
      <c r="C249" s="1175" t="s">
        <v>1057</v>
      </c>
      <c r="D249" s="1175" t="s">
        <v>1996</v>
      </c>
      <c r="F249" s="1175">
        <v>440049971</v>
      </c>
      <c r="G249" s="1175" t="s">
        <v>1207</v>
      </c>
      <c r="H249" s="1178" t="s">
        <v>1637</v>
      </c>
      <c r="I249" s="1178"/>
      <c r="J249" s="1178"/>
      <c r="K249" s="1178"/>
    </row>
    <row r="250" spans="2:11">
      <c r="B250" s="1175">
        <v>440041101</v>
      </c>
      <c r="C250" s="1175" t="s">
        <v>1057</v>
      </c>
      <c r="D250" s="1175" t="s">
        <v>1996</v>
      </c>
      <c r="F250" s="1175">
        <v>440049971</v>
      </c>
      <c r="G250" s="1175" t="s">
        <v>1207</v>
      </c>
      <c r="H250" s="1178" t="s">
        <v>1637</v>
      </c>
      <c r="I250" s="1178"/>
      <c r="J250" s="1178"/>
      <c r="K250" s="1178"/>
    </row>
    <row r="251" spans="2:11">
      <c r="B251" s="1175">
        <v>440041101</v>
      </c>
      <c r="C251" s="1175" t="s">
        <v>1057</v>
      </c>
      <c r="D251" s="1175" t="s">
        <v>1996</v>
      </c>
      <c r="F251" s="1175">
        <v>440053072</v>
      </c>
      <c r="G251" s="1175" t="s">
        <v>1190</v>
      </c>
      <c r="H251" s="1178" t="s">
        <v>1638</v>
      </c>
      <c r="I251" s="1178"/>
      <c r="J251" s="1178"/>
      <c r="K251" s="1178"/>
    </row>
    <row r="252" spans="2:11">
      <c r="B252" s="1175">
        <v>440041127</v>
      </c>
      <c r="C252" s="1175" t="s">
        <v>979</v>
      </c>
      <c r="D252" s="1175" t="s">
        <v>1999</v>
      </c>
      <c r="F252" s="1175">
        <v>440032738</v>
      </c>
      <c r="G252" s="1175" t="s">
        <v>1208</v>
      </c>
      <c r="H252" s="1178" t="s">
        <v>1639</v>
      </c>
      <c r="I252" s="1178"/>
      <c r="J252" s="1178"/>
      <c r="K252" s="1178"/>
    </row>
    <row r="253" spans="2:11">
      <c r="B253" s="1175">
        <v>440041127</v>
      </c>
      <c r="C253" s="1175" t="s">
        <v>979</v>
      </c>
      <c r="D253" s="1175" t="s">
        <v>1999</v>
      </c>
      <c r="F253" s="1175">
        <v>440032738</v>
      </c>
      <c r="G253" s="1175" t="s">
        <v>1208</v>
      </c>
      <c r="H253" s="1178" t="s">
        <v>1639</v>
      </c>
      <c r="I253" s="1178"/>
      <c r="J253" s="1178"/>
      <c r="K253" s="1178"/>
    </row>
    <row r="254" spans="2:11">
      <c r="B254" s="1175">
        <v>440041127</v>
      </c>
      <c r="C254" s="1175" t="s">
        <v>979</v>
      </c>
      <c r="D254" s="1175" t="s">
        <v>1999</v>
      </c>
      <c r="F254" s="1175">
        <v>440032738</v>
      </c>
      <c r="G254" s="1175" t="s">
        <v>1208</v>
      </c>
      <c r="H254" s="1178" t="s">
        <v>1639</v>
      </c>
      <c r="I254" s="1178"/>
      <c r="J254" s="1178"/>
      <c r="K254" s="1178"/>
    </row>
    <row r="255" spans="2:11">
      <c r="B255" s="1175">
        <v>440041127</v>
      </c>
      <c r="C255" s="1175" t="s">
        <v>979</v>
      </c>
      <c r="D255" s="1175" t="s">
        <v>1999</v>
      </c>
      <c r="F255" s="1175">
        <v>440032746</v>
      </c>
      <c r="G255" s="1175" t="s">
        <v>1209</v>
      </c>
      <c r="H255" s="1178" t="s">
        <v>1639</v>
      </c>
      <c r="I255" s="1178"/>
      <c r="J255" s="1178"/>
      <c r="K255" s="1178"/>
    </row>
    <row r="256" spans="2:11">
      <c r="B256" s="1175">
        <v>440041127</v>
      </c>
      <c r="C256" s="1175" t="s">
        <v>979</v>
      </c>
      <c r="D256" s="1175" t="s">
        <v>1999</v>
      </c>
      <c r="F256" s="1175">
        <v>440032746</v>
      </c>
      <c r="G256" s="1175" t="s">
        <v>1209</v>
      </c>
      <c r="H256" s="1178" t="s">
        <v>1639</v>
      </c>
      <c r="I256" s="1178"/>
      <c r="J256" s="1178"/>
      <c r="K256" s="1178"/>
    </row>
    <row r="257" spans="2:11">
      <c r="B257" s="1175">
        <v>440042141</v>
      </c>
      <c r="C257" s="1175" t="s">
        <v>1056</v>
      </c>
      <c r="D257" s="1175" t="s">
        <v>2000</v>
      </c>
      <c r="F257" s="1175">
        <v>440017960</v>
      </c>
      <c r="G257" s="1175" t="s">
        <v>1210</v>
      </c>
      <c r="H257" s="1178" t="s">
        <v>1640</v>
      </c>
      <c r="I257" s="1178"/>
      <c r="J257" s="1178"/>
      <c r="K257" s="1178"/>
    </row>
    <row r="258" spans="2:11">
      <c r="B258" s="1175">
        <v>440048767</v>
      </c>
      <c r="C258" s="1175" t="s">
        <v>970</v>
      </c>
      <c r="D258" s="1175" t="s">
        <v>2001</v>
      </c>
      <c r="F258" s="1175">
        <v>440048775</v>
      </c>
      <c r="G258" s="1175" t="s">
        <v>1211</v>
      </c>
      <c r="H258" s="1178" t="s">
        <v>1641</v>
      </c>
      <c r="I258" s="1178"/>
      <c r="J258" s="1178"/>
      <c r="K258" s="1178"/>
    </row>
    <row r="259" spans="2:11">
      <c r="B259" s="1175">
        <v>440048767</v>
      </c>
      <c r="C259" s="1175" t="s">
        <v>970</v>
      </c>
      <c r="D259" s="1175" t="s">
        <v>2001</v>
      </c>
      <c r="F259" s="1175">
        <v>440048775</v>
      </c>
      <c r="G259" s="1175" t="s">
        <v>1211</v>
      </c>
      <c r="H259" s="1178" t="s">
        <v>1641</v>
      </c>
      <c r="I259" s="1178"/>
      <c r="J259" s="1178"/>
      <c r="K259" s="1178"/>
    </row>
    <row r="260" spans="2:11">
      <c r="B260" s="1175">
        <v>440048767</v>
      </c>
      <c r="C260" s="1175" t="s">
        <v>970</v>
      </c>
      <c r="D260" s="1175" t="s">
        <v>2001</v>
      </c>
      <c r="F260" s="1175">
        <v>440048775</v>
      </c>
      <c r="G260" s="1175" t="s">
        <v>1211</v>
      </c>
      <c r="H260" s="1178" t="s">
        <v>1641</v>
      </c>
      <c r="I260" s="1178"/>
      <c r="J260" s="1178"/>
      <c r="K260" s="1178"/>
    </row>
    <row r="261" spans="2:11">
      <c r="B261" s="1175">
        <v>440048767</v>
      </c>
      <c r="C261" s="1175" t="s">
        <v>970</v>
      </c>
      <c r="D261" s="1175" t="s">
        <v>2001</v>
      </c>
      <c r="F261" s="1175">
        <v>440048775</v>
      </c>
      <c r="G261" s="1175" t="s">
        <v>1211</v>
      </c>
      <c r="H261" s="1178" t="s">
        <v>1641</v>
      </c>
      <c r="I261" s="1178"/>
      <c r="J261" s="1178"/>
      <c r="K261" s="1178"/>
    </row>
    <row r="262" spans="2:11">
      <c r="B262" s="1175">
        <v>490020310</v>
      </c>
      <c r="C262" s="1175" t="s">
        <v>2091</v>
      </c>
      <c r="D262" s="1175" t="s">
        <v>2002</v>
      </c>
      <c r="F262" s="1175">
        <v>440049930</v>
      </c>
      <c r="G262" s="1175" t="s">
        <v>2095</v>
      </c>
      <c r="H262" s="1178" t="s">
        <v>1642</v>
      </c>
      <c r="I262" s="1178"/>
      <c r="J262" s="1178"/>
      <c r="K262" s="1178"/>
    </row>
    <row r="263" spans="2:11">
      <c r="B263" s="1175">
        <v>490020310</v>
      </c>
      <c r="C263" s="1175" t="s">
        <v>2091</v>
      </c>
      <c r="D263" s="1175" t="s">
        <v>2002</v>
      </c>
      <c r="F263" s="1175">
        <v>440049930</v>
      </c>
      <c r="G263" s="1175" t="s">
        <v>2095</v>
      </c>
      <c r="H263" s="1178" t="s">
        <v>1642</v>
      </c>
      <c r="I263" s="1178"/>
      <c r="J263" s="1178"/>
      <c r="K263" s="1178"/>
    </row>
    <row r="264" spans="2:11">
      <c r="B264" s="1175">
        <v>610000754</v>
      </c>
      <c r="C264" s="1175" t="s">
        <v>1032</v>
      </c>
      <c r="D264" s="1175" t="s">
        <v>2003</v>
      </c>
      <c r="F264" s="1175">
        <v>440037844</v>
      </c>
      <c r="G264" s="1175" t="s">
        <v>1212</v>
      </c>
      <c r="H264" s="1178" t="s">
        <v>1643</v>
      </c>
      <c r="I264" s="1178"/>
      <c r="J264" s="1178"/>
      <c r="K264" s="1178"/>
    </row>
    <row r="265" spans="2:11">
      <c r="B265" s="1175">
        <v>610000754</v>
      </c>
      <c r="C265" s="1175" t="s">
        <v>1032</v>
      </c>
      <c r="D265" s="1175" t="s">
        <v>2003</v>
      </c>
      <c r="F265" s="1175">
        <v>440037844</v>
      </c>
      <c r="G265" s="1175" t="s">
        <v>1212</v>
      </c>
      <c r="H265" s="1178" t="s">
        <v>1643</v>
      </c>
      <c r="I265" s="1178"/>
      <c r="J265" s="1178"/>
      <c r="K265" s="1178"/>
    </row>
    <row r="266" spans="2:11">
      <c r="B266" s="1175">
        <v>610000754</v>
      </c>
      <c r="C266" s="1175" t="s">
        <v>1032</v>
      </c>
      <c r="D266" s="1175" t="s">
        <v>2003</v>
      </c>
      <c r="F266" s="1175">
        <v>440037844</v>
      </c>
      <c r="G266" s="1175" t="s">
        <v>1212</v>
      </c>
      <c r="H266" s="1178" t="s">
        <v>1643</v>
      </c>
      <c r="I266" s="1178"/>
      <c r="J266" s="1178"/>
      <c r="K266" s="1178"/>
    </row>
    <row r="267" spans="2:11">
      <c r="B267" s="1175">
        <v>690793435</v>
      </c>
      <c r="C267" s="1175" t="s">
        <v>966</v>
      </c>
      <c r="D267" s="1175" t="s">
        <v>2004</v>
      </c>
      <c r="F267" s="1175">
        <v>440044469</v>
      </c>
      <c r="G267" s="1175" t="s">
        <v>1213</v>
      </c>
      <c r="H267" s="1178" t="s">
        <v>1644</v>
      </c>
      <c r="I267" s="1178"/>
      <c r="J267" s="1178"/>
      <c r="K267" s="1178"/>
    </row>
    <row r="268" spans="2:11">
      <c r="B268" s="1175">
        <v>690793435</v>
      </c>
      <c r="C268" s="1175" t="s">
        <v>966</v>
      </c>
      <c r="D268" s="1175" t="s">
        <v>2004</v>
      </c>
      <c r="F268" s="1175">
        <v>440054021</v>
      </c>
      <c r="G268" s="1175" t="s">
        <v>1214</v>
      </c>
      <c r="H268" s="1178" t="s">
        <v>1645</v>
      </c>
      <c r="I268" s="1178"/>
      <c r="J268" s="1178"/>
      <c r="K268" s="1178"/>
    </row>
    <row r="269" spans="2:11">
      <c r="B269" s="1175">
        <v>750052037</v>
      </c>
      <c r="C269" s="1175" t="s">
        <v>1052</v>
      </c>
      <c r="D269" s="1175" t="s">
        <v>2005</v>
      </c>
      <c r="F269" s="1175">
        <v>440032597</v>
      </c>
      <c r="G269" s="1175" t="s">
        <v>1215</v>
      </c>
      <c r="H269" s="1178" t="s">
        <v>1646</v>
      </c>
      <c r="I269" s="1178"/>
      <c r="J269" s="1178"/>
      <c r="K269" s="1178"/>
    </row>
    <row r="270" spans="2:11">
      <c r="B270" s="1175">
        <v>750052037</v>
      </c>
      <c r="C270" s="1175" t="s">
        <v>1052</v>
      </c>
      <c r="D270" s="1175" t="s">
        <v>2005</v>
      </c>
      <c r="F270" s="1175">
        <v>440032597</v>
      </c>
      <c r="G270" s="1175" t="s">
        <v>1215</v>
      </c>
      <c r="H270" s="1178" t="s">
        <v>1646</v>
      </c>
      <c r="I270" s="1178"/>
      <c r="J270" s="1178"/>
      <c r="K270" s="1178"/>
    </row>
    <row r="271" spans="2:11">
      <c r="B271" s="1175">
        <v>750052037</v>
      </c>
      <c r="C271" s="1175" t="s">
        <v>1052</v>
      </c>
      <c r="D271" s="1175" t="s">
        <v>2005</v>
      </c>
      <c r="F271" s="1175">
        <v>440032597</v>
      </c>
      <c r="G271" s="1175" t="s">
        <v>1215</v>
      </c>
      <c r="H271" s="1178" t="s">
        <v>1646</v>
      </c>
      <c r="I271" s="1178"/>
      <c r="J271" s="1178"/>
      <c r="K271" s="1178"/>
    </row>
    <row r="272" spans="2:11">
      <c r="B272" s="1175">
        <v>750719239</v>
      </c>
      <c r="C272" s="1175" t="s">
        <v>943</v>
      </c>
      <c r="D272" s="1175" t="s">
        <v>2006</v>
      </c>
      <c r="F272" s="1175">
        <v>440000230</v>
      </c>
      <c r="G272" s="1175" t="s">
        <v>1216</v>
      </c>
      <c r="H272" s="1178" t="s">
        <v>1647</v>
      </c>
      <c r="I272" s="1178"/>
      <c r="J272" s="1178"/>
      <c r="K272" s="1178"/>
    </row>
    <row r="273" spans="2:11">
      <c r="B273" s="1175">
        <v>750719239</v>
      </c>
      <c r="C273" s="1175" t="s">
        <v>943</v>
      </c>
      <c r="D273" s="1175" t="s">
        <v>2006</v>
      </c>
      <c r="F273" s="1175">
        <v>440000750</v>
      </c>
      <c r="G273" s="1175" t="s">
        <v>1217</v>
      </c>
      <c r="H273" s="1178" t="s">
        <v>1648</v>
      </c>
      <c r="I273" s="1178"/>
      <c r="J273" s="1178"/>
      <c r="K273" s="1178"/>
    </row>
    <row r="274" spans="2:11">
      <c r="B274" s="1175">
        <v>750719239</v>
      </c>
      <c r="C274" s="1175" t="s">
        <v>943</v>
      </c>
      <c r="D274" s="1175" t="s">
        <v>2006</v>
      </c>
      <c r="F274" s="1175">
        <v>440000750</v>
      </c>
      <c r="G274" s="1175" t="s">
        <v>1217</v>
      </c>
      <c r="H274" s="1178" t="s">
        <v>1648</v>
      </c>
      <c r="I274" s="1178"/>
      <c r="J274" s="1178"/>
      <c r="K274" s="1178"/>
    </row>
    <row r="275" spans="2:11">
      <c r="B275" s="1175">
        <v>750719239</v>
      </c>
      <c r="C275" s="1175" t="s">
        <v>943</v>
      </c>
      <c r="D275" s="1175" t="s">
        <v>2006</v>
      </c>
      <c r="F275" s="1175">
        <v>440023752</v>
      </c>
      <c r="G275" s="1175" t="s">
        <v>1218</v>
      </c>
      <c r="H275" s="1178" t="s">
        <v>1649</v>
      </c>
      <c r="I275" s="1178"/>
      <c r="J275" s="1178"/>
      <c r="K275" s="1178"/>
    </row>
    <row r="276" spans="2:11">
      <c r="B276" s="1175">
        <v>750719239</v>
      </c>
      <c r="C276" s="1175" t="s">
        <v>943</v>
      </c>
      <c r="D276" s="1175" t="s">
        <v>2006</v>
      </c>
      <c r="F276" s="1175">
        <v>440053320</v>
      </c>
      <c r="G276" s="1175" t="s">
        <v>1219</v>
      </c>
      <c r="H276" s="1178" t="s">
        <v>1650</v>
      </c>
      <c r="I276" s="1178"/>
      <c r="J276" s="1178"/>
      <c r="K276" s="1178"/>
    </row>
    <row r="277" spans="2:11">
      <c r="B277" s="1175">
        <v>750720245</v>
      </c>
      <c r="C277" s="1175" t="s">
        <v>1220</v>
      </c>
      <c r="D277" s="1175" t="s">
        <v>2007</v>
      </c>
      <c r="F277" s="1175">
        <v>440035988</v>
      </c>
      <c r="G277" s="1175" t="s">
        <v>1221</v>
      </c>
      <c r="H277" s="1178" t="s">
        <v>1651</v>
      </c>
      <c r="I277" s="1178"/>
      <c r="J277" s="1178"/>
      <c r="K277" s="1178"/>
    </row>
    <row r="278" spans="2:11">
      <c r="B278" s="1175">
        <v>750720245</v>
      </c>
      <c r="C278" s="1175" t="s">
        <v>1220</v>
      </c>
      <c r="D278" s="1175" t="s">
        <v>2007</v>
      </c>
      <c r="F278" s="1175">
        <v>440035988</v>
      </c>
      <c r="G278" s="1175" t="s">
        <v>1221</v>
      </c>
      <c r="H278" s="1178" t="s">
        <v>1651</v>
      </c>
      <c r="I278" s="1178"/>
      <c r="J278" s="1178"/>
      <c r="K278" s="1178"/>
    </row>
    <row r="279" spans="2:11">
      <c r="B279" s="1175">
        <v>750720831</v>
      </c>
      <c r="C279" s="1175" t="s">
        <v>1222</v>
      </c>
      <c r="D279" s="1175" t="s">
        <v>2008</v>
      </c>
      <c r="F279" s="1175">
        <v>440000099</v>
      </c>
      <c r="G279" s="1175" t="s">
        <v>1223</v>
      </c>
      <c r="H279" s="1178" t="s">
        <v>1652</v>
      </c>
      <c r="I279" s="1178"/>
      <c r="J279" s="1178"/>
      <c r="K279" s="1178"/>
    </row>
    <row r="280" spans="2:11">
      <c r="B280" s="1175">
        <v>750720831</v>
      </c>
      <c r="C280" s="1175" t="s">
        <v>1222</v>
      </c>
      <c r="D280" s="1175" t="s">
        <v>2008</v>
      </c>
      <c r="F280" s="1175">
        <v>440047777</v>
      </c>
      <c r="G280" s="1175" t="s">
        <v>1224</v>
      </c>
      <c r="H280" s="1178" t="s">
        <v>1653</v>
      </c>
      <c r="I280" s="1178"/>
      <c r="J280" s="1178"/>
      <c r="K280" s="1178"/>
    </row>
    <row r="281" spans="2:11">
      <c r="B281" s="1175">
        <v>780021853</v>
      </c>
      <c r="C281" s="1175" t="s">
        <v>1225</v>
      </c>
      <c r="D281" s="1175" t="s">
        <v>2009</v>
      </c>
      <c r="F281" s="1175">
        <v>440051118</v>
      </c>
      <c r="G281" s="1175" t="s">
        <v>1226</v>
      </c>
      <c r="H281" s="1178" t="s">
        <v>1654</v>
      </c>
      <c r="I281" s="1178"/>
      <c r="J281" s="1178"/>
      <c r="K281" s="1178"/>
    </row>
    <row r="282" spans="2:11">
      <c r="B282" s="1175">
        <v>780021853</v>
      </c>
      <c r="C282" s="1175" t="s">
        <v>1225</v>
      </c>
      <c r="D282" s="1175" t="s">
        <v>2009</v>
      </c>
      <c r="F282" s="1175">
        <v>440052819</v>
      </c>
      <c r="G282" s="1175" t="s">
        <v>1227</v>
      </c>
      <c r="H282" s="1178" t="s">
        <v>1655</v>
      </c>
      <c r="I282" s="1178"/>
      <c r="J282" s="1178"/>
      <c r="K282" s="1178"/>
    </row>
    <row r="283" spans="2:11">
      <c r="B283" s="1175">
        <v>850020413</v>
      </c>
      <c r="C283" s="1175" t="s">
        <v>950</v>
      </c>
      <c r="D283" s="1175" t="s">
        <v>2010</v>
      </c>
      <c r="F283" s="1175">
        <v>440051563</v>
      </c>
      <c r="G283" s="1175" t="s">
        <v>1228</v>
      </c>
      <c r="H283" s="1178" t="s">
        <v>2093</v>
      </c>
      <c r="I283" s="1178"/>
      <c r="J283" s="1178"/>
      <c r="K283" s="1178"/>
    </row>
    <row r="284" spans="2:11">
      <c r="B284" s="1175">
        <v>850020413</v>
      </c>
      <c r="C284" s="1175" t="s">
        <v>950</v>
      </c>
      <c r="D284" s="1175" t="s">
        <v>2010</v>
      </c>
      <c r="F284" s="1175">
        <v>440051563</v>
      </c>
      <c r="G284" s="1175" t="s">
        <v>1228</v>
      </c>
      <c r="H284" s="1178" t="s">
        <v>2093</v>
      </c>
      <c r="I284" s="1178"/>
      <c r="J284" s="1178"/>
      <c r="K284" s="1178"/>
    </row>
    <row r="285" spans="2:11">
      <c r="B285" s="1175">
        <v>490001716</v>
      </c>
      <c r="C285" s="1175" t="s">
        <v>992</v>
      </c>
      <c r="D285" s="1175" t="s">
        <v>2011</v>
      </c>
      <c r="F285" s="1175">
        <v>490015740</v>
      </c>
      <c r="G285" s="1175" t="s">
        <v>1091</v>
      </c>
      <c r="H285" s="1178" t="s">
        <v>1656</v>
      </c>
      <c r="I285" s="1178"/>
      <c r="J285" s="1178"/>
      <c r="K285" s="1178"/>
    </row>
    <row r="286" spans="2:11">
      <c r="B286" s="1175">
        <v>490001971</v>
      </c>
      <c r="C286" s="1175" t="s">
        <v>1229</v>
      </c>
      <c r="D286" s="1175" t="s">
        <v>2012</v>
      </c>
      <c r="F286" s="1175">
        <v>490008745</v>
      </c>
      <c r="G286" s="1175" t="s">
        <v>1230</v>
      </c>
      <c r="H286" s="1178" t="s">
        <v>1657</v>
      </c>
      <c r="I286" s="1178"/>
      <c r="J286" s="1178"/>
      <c r="K286" s="1178"/>
    </row>
    <row r="287" spans="2:11">
      <c r="B287" s="1175">
        <v>490001971</v>
      </c>
      <c r="C287" s="1175" t="s">
        <v>1229</v>
      </c>
      <c r="D287" s="1175" t="s">
        <v>2012</v>
      </c>
      <c r="F287" s="1175">
        <v>490013778</v>
      </c>
      <c r="G287" s="1175" t="s">
        <v>1231</v>
      </c>
      <c r="H287" s="1178" t="s">
        <v>1658</v>
      </c>
      <c r="I287" s="1178"/>
      <c r="J287" s="1178"/>
      <c r="K287" s="1178"/>
    </row>
    <row r="288" spans="2:11">
      <c r="B288" s="1175">
        <v>490001971</v>
      </c>
      <c r="C288" s="1175" t="s">
        <v>1229</v>
      </c>
      <c r="D288" s="1175" t="s">
        <v>2012</v>
      </c>
      <c r="F288" s="1175">
        <v>490013778</v>
      </c>
      <c r="G288" s="1175" t="s">
        <v>1231</v>
      </c>
      <c r="H288" s="1178" t="s">
        <v>1658</v>
      </c>
      <c r="I288" s="1178"/>
      <c r="J288" s="1178"/>
      <c r="K288" s="1178"/>
    </row>
    <row r="289" spans="2:11">
      <c r="B289" s="1175">
        <v>440042141</v>
      </c>
      <c r="C289" s="1175" t="s">
        <v>1056</v>
      </c>
      <c r="D289" s="1175" t="s">
        <v>2000</v>
      </c>
      <c r="F289" s="1175">
        <v>440017960</v>
      </c>
      <c r="G289" s="1175" t="s">
        <v>1210</v>
      </c>
      <c r="H289" s="1178" t="s">
        <v>1640</v>
      </c>
      <c r="I289" s="1178"/>
      <c r="J289" s="1178"/>
      <c r="K289" s="1178"/>
    </row>
    <row r="290" spans="2:11">
      <c r="B290" s="1175">
        <v>440042141</v>
      </c>
      <c r="C290" s="1175" t="s">
        <v>1056</v>
      </c>
      <c r="D290" s="1175" t="s">
        <v>2000</v>
      </c>
      <c r="F290" s="1175">
        <v>440017960</v>
      </c>
      <c r="G290" s="1175" t="s">
        <v>1210</v>
      </c>
      <c r="H290" s="1178" t="s">
        <v>1640</v>
      </c>
      <c r="I290" s="1178"/>
      <c r="J290" s="1178"/>
      <c r="K290" s="1178"/>
    </row>
    <row r="291" spans="2:11">
      <c r="B291" s="1175">
        <v>440042844</v>
      </c>
      <c r="C291" s="1175" t="s">
        <v>1067</v>
      </c>
      <c r="D291" s="1175" t="s">
        <v>2013</v>
      </c>
      <c r="F291" s="1175">
        <v>440036440</v>
      </c>
      <c r="G291" s="1175" t="s">
        <v>1232</v>
      </c>
      <c r="H291" s="1178" t="s">
        <v>1659</v>
      </c>
      <c r="I291" s="1178"/>
      <c r="J291" s="1178"/>
      <c r="K291" s="1178"/>
    </row>
    <row r="292" spans="2:11">
      <c r="B292" s="1175">
        <v>440042844</v>
      </c>
      <c r="C292" s="1175" t="s">
        <v>1067</v>
      </c>
      <c r="D292" s="1175" t="s">
        <v>2013</v>
      </c>
      <c r="F292" s="1175">
        <v>440036440</v>
      </c>
      <c r="G292" s="1175" t="s">
        <v>1232</v>
      </c>
      <c r="H292" s="1178" t="s">
        <v>1659</v>
      </c>
      <c r="I292" s="1178"/>
      <c r="J292" s="1178"/>
      <c r="K292" s="1178"/>
    </row>
    <row r="293" spans="2:11">
      <c r="B293" s="1175">
        <v>440048767</v>
      </c>
      <c r="C293" s="1175" t="s">
        <v>970</v>
      </c>
      <c r="D293" s="1175" t="s">
        <v>2001</v>
      </c>
      <c r="F293" s="1175">
        <v>440048775</v>
      </c>
      <c r="G293" s="1175" t="s">
        <v>1211</v>
      </c>
      <c r="H293" s="1178" t="s">
        <v>1641</v>
      </c>
      <c r="I293" s="1178"/>
      <c r="J293" s="1178"/>
      <c r="K293" s="1178"/>
    </row>
    <row r="294" spans="2:11">
      <c r="B294" s="1175">
        <v>440048767</v>
      </c>
      <c r="C294" s="1175" t="s">
        <v>970</v>
      </c>
      <c r="D294" s="1175" t="s">
        <v>2001</v>
      </c>
      <c r="F294" s="1175">
        <v>440048775</v>
      </c>
      <c r="G294" s="1175" t="s">
        <v>1211</v>
      </c>
      <c r="H294" s="1178" t="s">
        <v>1641</v>
      </c>
      <c r="I294" s="1178"/>
      <c r="J294" s="1178"/>
      <c r="K294" s="1178"/>
    </row>
    <row r="295" spans="2:11">
      <c r="B295" s="1175">
        <v>440048767</v>
      </c>
      <c r="C295" s="1175" t="s">
        <v>970</v>
      </c>
      <c r="D295" s="1175" t="s">
        <v>2001</v>
      </c>
      <c r="F295" s="1175">
        <v>440048775</v>
      </c>
      <c r="G295" s="1175" t="s">
        <v>1211</v>
      </c>
      <c r="H295" s="1178" t="s">
        <v>1641</v>
      </c>
      <c r="I295" s="1178"/>
      <c r="J295" s="1178"/>
      <c r="K295" s="1178"/>
    </row>
    <row r="296" spans="2:11">
      <c r="B296" s="1175">
        <v>440048767</v>
      </c>
      <c r="C296" s="1175" t="s">
        <v>970</v>
      </c>
      <c r="D296" s="1175" t="s">
        <v>2001</v>
      </c>
      <c r="F296" s="1175">
        <v>440051795</v>
      </c>
      <c r="G296" s="1175" t="s">
        <v>969</v>
      </c>
      <c r="H296" s="1178" t="s">
        <v>1641</v>
      </c>
      <c r="I296" s="1178"/>
      <c r="J296" s="1178"/>
      <c r="K296" s="1178"/>
    </row>
    <row r="297" spans="2:11">
      <c r="B297" s="1175">
        <v>610000754</v>
      </c>
      <c r="C297" s="1175" t="s">
        <v>1032</v>
      </c>
      <c r="D297" s="1175" t="s">
        <v>2003</v>
      </c>
      <c r="F297" s="1175">
        <v>440037844</v>
      </c>
      <c r="G297" s="1175" t="s">
        <v>1212</v>
      </c>
      <c r="H297" s="1178" t="s">
        <v>1643</v>
      </c>
      <c r="I297" s="1178"/>
      <c r="J297" s="1178"/>
      <c r="K297" s="1178"/>
    </row>
    <row r="298" spans="2:11">
      <c r="B298" s="1175">
        <v>610000754</v>
      </c>
      <c r="C298" s="1175" t="s">
        <v>1032</v>
      </c>
      <c r="D298" s="1175" t="s">
        <v>2003</v>
      </c>
      <c r="F298" s="1175">
        <v>440037844</v>
      </c>
      <c r="G298" s="1175" t="s">
        <v>1212</v>
      </c>
      <c r="H298" s="1178" t="s">
        <v>1643</v>
      </c>
      <c r="I298" s="1178"/>
      <c r="J298" s="1178"/>
      <c r="K298" s="1178"/>
    </row>
    <row r="299" spans="2:11">
      <c r="B299" s="1175">
        <v>690793435</v>
      </c>
      <c r="C299" s="1175" t="s">
        <v>966</v>
      </c>
      <c r="D299" s="1175" t="s">
        <v>2004</v>
      </c>
      <c r="F299" s="1175">
        <v>440024693</v>
      </c>
      <c r="G299" s="1175" t="s">
        <v>1233</v>
      </c>
      <c r="H299" s="1178" t="s">
        <v>1644</v>
      </c>
      <c r="I299" s="1178"/>
      <c r="J299" s="1178"/>
      <c r="K299" s="1178"/>
    </row>
    <row r="300" spans="2:11">
      <c r="B300" s="1175">
        <v>690793435</v>
      </c>
      <c r="C300" s="1175" t="s">
        <v>966</v>
      </c>
      <c r="D300" s="1175" t="s">
        <v>2004</v>
      </c>
      <c r="F300" s="1175">
        <v>440024693</v>
      </c>
      <c r="G300" s="1175" t="s">
        <v>1233</v>
      </c>
      <c r="H300" s="1178" t="s">
        <v>1644</v>
      </c>
      <c r="I300" s="1178"/>
      <c r="J300" s="1178"/>
      <c r="K300" s="1178"/>
    </row>
    <row r="301" spans="2:11">
      <c r="B301" s="1175">
        <v>690793435</v>
      </c>
      <c r="C301" s="1175" t="s">
        <v>966</v>
      </c>
      <c r="D301" s="1175" t="s">
        <v>2004</v>
      </c>
      <c r="F301" s="1175">
        <v>440040707</v>
      </c>
      <c r="G301" s="1175" t="s">
        <v>1234</v>
      </c>
      <c r="H301" s="1178" t="s">
        <v>1660</v>
      </c>
      <c r="I301" s="1178"/>
      <c r="J301" s="1178"/>
      <c r="K301" s="1178"/>
    </row>
    <row r="302" spans="2:11">
      <c r="B302" s="1175">
        <v>750052037</v>
      </c>
      <c r="C302" s="1175" t="s">
        <v>1052</v>
      </c>
      <c r="D302" s="1175" t="s">
        <v>2005</v>
      </c>
      <c r="F302" s="1175">
        <v>440044493</v>
      </c>
      <c r="G302" s="1175" t="s">
        <v>1235</v>
      </c>
      <c r="H302" s="1178" t="s">
        <v>1646</v>
      </c>
      <c r="I302" s="1178"/>
      <c r="J302" s="1178"/>
      <c r="K302" s="1178"/>
    </row>
    <row r="303" spans="2:11">
      <c r="B303" s="1175">
        <v>750719239</v>
      </c>
      <c r="C303" s="1175" t="s">
        <v>943</v>
      </c>
      <c r="D303" s="1175" t="s">
        <v>2006</v>
      </c>
      <c r="F303" s="1175">
        <v>440000222</v>
      </c>
      <c r="G303" s="1175" t="s">
        <v>1236</v>
      </c>
      <c r="H303" s="1178" t="s">
        <v>1661</v>
      </c>
      <c r="I303" s="1178"/>
      <c r="J303" s="1178"/>
      <c r="K303" s="1178"/>
    </row>
    <row r="304" spans="2:11">
      <c r="B304" s="1175">
        <v>750719239</v>
      </c>
      <c r="C304" s="1175" t="s">
        <v>943</v>
      </c>
      <c r="D304" s="1175" t="s">
        <v>2006</v>
      </c>
      <c r="F304" s="1175">
        <v>440000222</v>
      </c>
      <c r="G304" s="1175" t="s">
        <v>1236</v>
      </c>
      <c r="H304" s="1178" t="s">
        <v>1661</v>
      </c>
      <c r="I304" s="1178"/>
      <c r="J304" s="1178"/>
      <c r="K304" s="1178"/>
    </row>
    <row r="305" spans="2:11">
      <c r="B305" s="1175">
        <v>750719239</v>
      </c>
      <c r="C305" s="1175" t="s">
        <v>943</v>
      </c>
      <c r="D305" s="1175" t="s">
        <v>2006</v>
      </c>
      <c r="F305" s="1175">
        <v>440000230</v>
      </c>
      <c r="G305" s="1175" t="s">
        <v>1216</v>
      </c>
      <c r="H305" s="1178" t="s">
        <v>1647</v>
      </c>
      <c r="I305" s="1178"/>
      <c r="J305" s="1178"/>
      <c r="K305" s="1178"/>
    </row>
    <row r="306" spans="2:11">
      <c r="B306" s="1175">
        <v>750719239</v>
      </c>
      <c r="C306" s="1175" t="s">
        <v>943</v>
      </c>
      <c r="D306" s="1175" t="s">
        <v>2006</v>
      </c>
      <c r="F306" s="1175">
        <v>440032043</v>
      </c>
      <c r="G306" s="1175" t="s">
        <v>1237</v>
      </c>
      <c r="H306" s="1178" t="s">
        <v>1662</v>
      </c>
      <c r="I306" s="1178"/>
      <c r="J306" s="1178"/>
      <c r="K306" s="1178"/>
    </row>
    <row r="307" spans="2:11">
      <c r="B307" s="1175">
        <v>750719239</v>
      </c>
      <c r="C307" s="1175" t="s">
        <v>943</v>
      </c>
      <c r="D307" s="1175" t="s">
        <v>2006</v>
      </c>
      <c r="F307" s="1175">
        <v>440035228</v>
      </c>
      <c r="G307" s="1175" t="s">
        <v>1238</v>
      </c>
      <c r="H307" s="1178" t="s">
        <v>1663</v>
      </c>
      <c r="I307" s="1178"/>
      <c r="J307" s="1178"/>
      <c r="K307" s="1178"/>
    </row>
    <row r="308" spans="2:11">
      <c r="B308" s="1175">
        <v>750719239</v>
      </c>
      <c r="C308" s="1175" t="s">
        <v>943</v>
      </c>
      <c r="D308" s="1175" t="s">
        <v>2006</v>
      </c>
      <c r="F308" s="1175">
        <v>440049005</v>
      </c>
      <c r="G308" s="1175" t="s">
        <v>1239</v>
      </c>
      <c r="H308" s="1178" t="s">
        <v>1664</v>
      </c>
      <c r="I308" s="1178"/>
      <c r="J308" s="1178"/>
      <c r="K308" s="1178"/>
    </row>
    <row r="309" spans="2:11">
      <c r="B309" s="1175">
        <v>750719239</v>
      </c>
      <c r="C309" s="1175" t="s">
        <v>943</v>
      </c>
      <c r="D309" s="1175" t="s">
        <v>2006</v>
      </c>
      <c r="F309" s="1175">
        <v>440053288</v>
      </c>
      <c r="G309" s="1175" t="s">
        <v>1240</v>
      </c>
      <c r="H309" s="1178" t="s">
        <v>1665</v>
      </c>
      <c r="I309" s="1178"/>
      <c r="J309" s="1178"/>
      <c r="K309" s="1178"/>
    </row>
    <row r="310" spans="2:11">
      <c r="B310" s="1175">
        <v>750720831</v>
      </c>
      <c r="C310" s="1175" t="s">
        <v>1222</v>
      </c>
      <c r="D310" s="1175" t="s">
        <v>2008</v>
      </c>
      <c r="F310" s="1175">
        <v>440000099</v>
      </c>
      <c r="G310" s="1175" t="s">
        <v>1223</v>
      </c>
      <c r="H310" s="1178" t="s">
        <v>1652</v>
      </c>
      <c r="I310" s="1178"/>
      <c r="J310" s="1178"/>
      <c r="K310" s="1178"/>
    </row>
    <row r="311" spans="2:11">
      <c r="B311" s="1175">
        <v>750720831</v>
      </c>
      <c r="C311" s="1175" t="s">
        <v>1222</v>
      </c>
      <c r="D311" s="1175" t="s">
        <v>2008</v>
      </c>
      <c r="F311" s="1175">
        <v>440000099</v>
      </c>
      <c r="G311" s="1175" t="s">
        <v>1223</v>
      </c>
      <c r="H311" s="1178" t="s">
        <v>1652</v>
      </c>
      <c r="I311" s="1178"/>
      <c r="J311" s="1178"/>
      <c r="K311" s="1178"/>
    </row>
    <row r="312" spans="2:11">
      <c r="B312" s="1175">
        <v>750720831</v>
      </c>
      <c r="C312" s="1175" t="s">
        <v>1222</v>
      </c>
      <c r="D312" s="1175" t="s">
        <v>2008</v>
      </c>
      <c r="F312" s="1175">
        <v>440000743</v>
      </c>
      <c r="G312" s="1175" t="s">
        <v>1241</v>
      </c>
      <c r="H312" s="1178" t="s">
        <v>1666</v>
      </c>
      <c r="I312" s="1178"/>
      <c r="J312" s="1178"/>
      <c r="K312" s="1178"/>
    </row>
    <row r="313" spans="2:11">
      <c r="B313" s="1175">
        <v>750720831</v>
      </c>
      <c r="C313" s="1175" t="s">
        <v>1222</v>
      </c>
      <c r="D313" s="1175" t="s">
        <v>2008</v>
      </c>
      <c r="F313" s="1175">
        <v>440000743</v>
      </c>
      <c r="G313" s="1175" t="s">
        <v>1241</v>
      </c>
      <c r="H313" s="1178" t="s">
        <v>1666</v>
      </c>
      <c r="I313" s="1178"/>
      <c r="J313" s="1178"/>
      <c r="K313" s="1178"/>
    </row>
    <row r="314" spans="2:11">
      <c r="B314" s="1175">
        <v>920809829</v>
      </c>
      <c r="C314" s="1175" t="s">
        <v>1051</v>
      </c>
      <c r="D314" s="1175" t="s">
        <v>2014</v>
      </c>
      <c r="F314" s="1175">
        <v>440040764</v>
      </c>
      <c r="G314" s="1175" t="s">
        <v>1242</v>
      </c>
      <c r="H314" s="1178" t="s">
        <v>1667</v>
      </c>
      <c r="I314" s="1178"/>
      <c r="J314" s="1178"/>
      <c r="K314" s="1178"/>
    </row>
    <row r="315" spans="2:11">
      <c r="B315" s="1175">
        <v>490000163</v>
      </c>
      <c r="C315" s="1175" t="s">
        <v>1038</v>
      </c>
      <c r="D315" s="1175" t="s">
        <v>2015</v>
      </c>
      <c r="F315" s="1175">
        <v>490016680</v>
      </c>
      <c r="G315" s="1175" t="s">
        <v>1243</v>
      </c>
      <c r="H315" s="1178" t="s">
        <v>1668</v>
      </c>
      <c r="I315" s="1178"/>
      <c r="J315" s="1178"/>
      <c r="K315" s="1178"/>
    </row>
    <row r="316" spans="2:11">
      <c r="B316" s="1175">
        <v>490000163</v>
      </c>
      <c r="C316" s="1175" t="s">
        <v>1038</v>
      </c>
      <c r="D316" s="1175" t="s">
        <v>2015</v>
      </c>
      <c r="F316" s="1175">
        <v>490016680</v>
      </c>
      <c r="G316" s="1175" t="s">
        <v>1243</v>
      </c>
      <c r="H316" s="1178" t="s">
        <v>1668</v>
      </c>
      <c r="I316" s="1178"/>
      <c r="J316" s="1178"/>
      <c r="K316" s="1178"/>
    </row>
    <row r="317" spans="2:11">
      <c r="B317" s="1175">
        <v>490000882</v>
      </c>
      <c r="C317" s="1175" t="s">
        <v>988</v>
      </c>
      <c r="D317" s="1175" t="s">
        <v>2016</v>
      </c>
      <c r="F317" s="1175">
        <v>490016623</v>
      </c>
      <c r="G317" s="1175" t="s">
        <v>1090</v>
      </c>
      <c r="H317" s="1178" t="s">
        <v>1669</v>
      </c>
      <c r="I317" s="1178"/>
      <c r="J317" s="1178"/>
      <c r="K317" s="1178"/>
    </row>
    <row r="318" spans="2:11">
      <c r="B318" s="1175">
        <v>490001971</v>
      </c>
      <c r="C318" s="1175" t="s">
        <v>1229</v>
      </c>
      <c r="D318" s="1175" t="s">
        <v>2012</v>
      </c>
      <c r="F318" s="1175">
        <v>490013778</v>
      </c>
      <c r="G318" s="1175" t="s">
        <v>1231</v>
      </c>
      <c r="H318" s="1178" t="s">
        <v>1658</v>
      </c>
      <c r="I318" s="1178"/>
      <c r="J318" s="1178"/>
      <c r="K318" s="1178"/>
    </row>
    <row r="319" spans="2:11">
      <c r="B319" s="1175">
        <v>490001971</v>
      </c>
      <c r="C319" s="1175" t="s">
        <v>1229</v>
      </c>
      <c r="D319" s="1175" t="s">
        <v>2012</v>
      </c>
      <c r="F319" s="1175">
        <v>490018579</v>
      </c>
      <c r="G319" s="1175" t="s">
        <v>1244</v>
      </c>
      <c r="H319" s="1178" t="s">
        <v>1670</v>
      </c>
      <c r="I319" s="1178"/>
      <c r="J319" s="1178"/>
      <c r="K319" s="1178"/>
    </row>
    <row r="320" spans="2:11">
      <c r="B320" s="1175">
        <v>490001971</v>
      </c>
      <c r="C320" s="1175" t="s">
        <v>1229</v>
      </c>
      <c r="D320" s="1175" t="s">
        <v>2012</v>
      </c>
      <c r="F320" s="1175">
        <v>490018926</v>
      </c>
      <c r="G320" s="1175" t="s">
        <v>1245</v>
      </c>
      <c r="H320" s="1178" t="s">
        <v>1670</v>
      </c>
      <c r="I320" s="1178"/>
      <c r="J320" s="1178"/>
      <c r="K320" s="1178"/>
    </row>
    <row r="321" spans="2:11">
      <c r="B321" s="1175">
        <v>490003563</v>
      </c>
      <c r="C321" s="1175" t="s">
        <v>1050</v>
      </c>
      <c r="D321" s="1175" t="s">
        <v>2017</v>
      </c>
      <c r="F321" s="1175">
        <v>490018470</v>
      </c>
      <c r="G321" s="1175" t="s">
        <v>1092</v>
      </c>
      <c r="H321" s="1178" t="s">
        <v>1671</v>
      </c>
      <c r="I321" s="1178"/>
      <c r="J321" s="1178"/>
      <c r="K321" s="1178"/>
    </row>
    <row r="322" spans="2:11">
      <c r="B322" s="1175">
        <v>490011343</v>
      </c>
      <c r="C322" s="1175" t="s">
        <v>972</v>
      </c>
      <c r="D322" s="1175" t="s">
        <v>2018</v>
      </c>
      <c r="F322" s="1175">
        <v>490014818</v>
      </c>
      <c r="G322" s="1175" t="s">
        <v>1246</v>
      </c>
      <c r="H322" s="1178" t="s">
        <v>1672</v>
      </c>
      <c r="I322" s="1178"/>
      <c r="J322" s="1178"/>
      <c r="K322" s="1178"/>
    </row>
    <row r="323" spans="2:11">
      <c r="B323" s="1175">
        <v>490011343</v>
      </c>
      <c r="C323" s="1175" t="s">
        <v>972</v>
      </c>
      <c r="D323" s="1175" t="s">
        <v>2018</v>
      </c>
      <c r="F323" s="1175">
        <v>490531944</v>
      </c>
      <c r="G323" s="1175" t="s">
        <v>1247</v>
      </c>
      <c r="H323" s="1178" t="s">
        <v>1673</v>
      </c>
      <c r="I323" s="1178"/>
      <c r="J323" s="1178"/>
      <c r="K323" s="1178"/>
    </row>
    <row r="324" spans="2:11">
      <c r="B324" s="1175">
        <v>490011343</v>
      </c>
      <c r="C324" s="1175" t="s">
        <v>972</v>
      </c>
      <c r="D324" s="1175" t="s">
        <v>2018</v>
      </c>
      <c r="F324" s="1175">
        <v>490532033</v>
      </c>
      <c r="G324" s="1175" t="s">
        <v>1101</v>
      </c>
      <c r="H324" s="1178" t="s">
        <v>1674</v>
      </c>
      <c r="I324" s="1178"/>
      <c r="J324" s="1178"/>
      <c r="K324" s="1178"/>
    </row>
    <row r="325" spans="2:11">
      <c r="B325" s="1175">
        <v>490011343</v>
      </c>
      <c r="C325" s="1175" t="s">
        <v>972</v>
      </c>
      <c r="D325" s="1175" t="s">
        <v>2018</v>
      </c>
      <c r="F325" s="1175">
        <v>490532033</v>
      </c>
      <c r="G325" s="1175" t="s">
        <v>1101</v>
      </c>
      <c r="H325" s="1178" t="s">
        <v>1674</v>
      </c>
      <c r="I325" s="1178"/>
      <c r="J325" s="1178"/>
      <c r="K325" s="1178"/>
    </row>
    <row r="326" spans="2:11">
      <c r="B326" s="1175">
        <v>490011343</v>
      </c>
      <c r="C326" s="1175" t="s">
        <v>972</v>
      </c>
      <c r="D326" s="1175" t="s">
        <v>2018</v>
      </c>
      <c r="F326" s="1175">
        <v>490532033</v>
      </c>
      <c r="G326" s="1175" t="s">
        <v>1101</v>
      </c>
      <c r="H326" s="1178" t="s">
        <v>1674</v>
      </c>
      <c r="I326" s="1178"/>
      <c r="J326" s="1178"/>
      <c r="K326" s="1178"/>
    </row>
    <row r="327" spans="2:11">
      <c r="B327" s="1175">
        <v>490015344</v>
      </c>
      <c r="C327" s="1175" t="s">
        <v>1037</v>
      </c>
      <c r="D327" s="1175" t="s">
        <v>2019</v>
      </c>
      <c r="F327" s="1175">
        <v>490015377</v>
      </c>
      <c r="G327" s="1175" t="s">
        <v>991</v>
      </c>
      <c r="H327" s="1178" t="s">
        <v>1675</v>
      </c>
      <c r="I327" s="1178"/>
      <c r="J327" s="1178"/>
      <c r="K327" s="1178"/>
    </row>
    <row r="328" spans="2:11">
      <c r="B328" s="1175">
        <v>490015856</v>
      </c>
      <c r="C328" s="1175" t="s">
        <v>939</v>
      </c>
      <c r="D328" s="1175" t="s">
        <v>2020</v>
      </c>
      <c r="F328" s="1175">
        <v>490002524</v>
      </c>
      <c r="G328" s="1175" t="s">
        <v>1248</v>
      </c>
      <c r="H328" s="1178" t="s">
        <v>1676</v>
      </c>
      <c r="I328" s="1178"/>
      <c r="J328" s="1178"/>
      <c r="K328" s="1178"/>
    </row>
    <row r="329" spans="2:11">
      <c r="B329" s="1175">
        <v>490015856</v>
      </c>
      <c r="C329" s="1175" t="s">
        <v>939</v>
      </c>
      <c r="D329" s="1175" t="s">
        <v>2020</v>
      </c>
      <c r="F329" s="1175">
        <v>490002524</v>
      </c>
      <c r="G329" s="1175" t="s">
        <v>1248</v>
      </c>
      <c r="H329" s="1178" t="s">
        <v>1676</v>
      </c>
      <c r="I329" s="1178"/>
      <c r="J329" s="1178"/>
      <c r="K329" s="1178"/>
    </row>
    <row r="330" spans="2:11">
      <c r="B330" s="1175">
        <v>490015856</v>
      </c>
      <c r="C330" s="1175" t="s">
        <v>939</v>
      </c>
      <c r="D330" s="1175" t="s">
        <v>2020</v>
      </c>
      <c r="F330" s="1175">
        <v>490020336</v>
      </c>
      <c r="G330" s="1175" t="s">
        <v>1249</v>
      </c>
      <c r="H330" s="1178" t="s">
        <v>1677</v>
      </c>
      <c r="I330" s="1178"/>
      <c r="J330" s="1178"/>
      <c r="K330" s="1178"/>
    </row>
    <row r="331" spans="2:11">
      <c r="B331" s="1175">
        <v>490016979</v>
      </c>
      <c r="C331" s="1175" t="s">
        <v>940</v>
      </c>
      <c r="D331" s="1175" t="s">
        <v>2017</v>
      </c>
      <c r="F331" s="1175">
        <v>490008752</v>
      </c>
      <c r="G331" s="1175" t="s">
        <v>1095</v>
      </c>
      <c r="H331" s="1178" t="s">
        <v>1678</v>
      </c>
      <c r="I331" s="1178"/>
      <c r="J331" s="1178"/>
      <c r="K331" s="1178"/>
    </row>
    <row r="332" spans="2:11">
      <c r="B332" s="1175">
        <v>490016979</v>
      </c>
      <c r="C332" s="1175" t="s">
        <v>940</v>
      </c>
      <c r="D332" s="1175" t="s">
        <v>2017</v>
      </c>
      <c r="F332" s="1175">
        <v>490012234</v>
      </c>
      <c r="G332" s="1175" t="s">
        <v>1250</v>
      </c>
      <c r="H332" s="1178" t="s">
        <v>1679</v>
      </c>
      <c r="I332" s="1178"/>
      <c r="J332" s="1178"/>
      <c r="K332" s="1178"/>
    </row>
    <row r="333" spans="2:11">
      <c r="B333" s="1175">
        <v>490016979</v>
      </c>
      <c r="C333" s="1175" t="s">
        <v>940</v>
      </c>
      <c r="D333" s="1175" t="s">
        <v>2017</v>
      </c>
      <c r="F333" s="1175">
        <v>490016458</v>
      </c>
      <c r="G333" s="1175" t="s">
        <v>975</v>
      </c>
      <c r="H333" s="1178" t="s">
        <v>1680</v>
      </c>
      <c r="I333" s="1178"/>
      <c r="J333" s="1178"/>
      <c r="K333" s="1178"/>
    </row>
    <row r="334" spans="2:11">
      <c r="B334" s="1175">
        <v>490016979</v>
      </c>
      <c r="C334" s="1175" t="s">
        <v>940</v>
      </c>
      <c r="D334" s="1175" t="s">
        <v>2017</v>
      </c>
      <c r="F334" s="1175">
        <v>490016458</v>
      </c>
      <c r="G334" s="1175" t="s">
        <v>975</v>
      </c>
      <c r="H334" s="1178" t="s">
        <v>1680</v>
      </c>
      <c r="I334" s="1178"/>
      <c r="J334" s="1178"/>
      <c r="K334" s="1178"/>
    </row>
    <row r="335" spans="2:11">
      <c r="B335" s="1175">
        <v>490016979</v>
      </c>
      <c r="C335" s="1175" t="s">
        <v>940</v>
      </c>
      <c r="D335" s="1175" t="s">
        <v>2017</v>
      </c>
      <c r="F335" s="1175">
        <v>490016458</v>
      </c>
      <c r="G335" s="1175" t="s">
        <v>975</v>
      </c>
      <c r="H335" s="1178" t="s">
        <v>1680</v>
      </c>
      <c r="I335" s="1178"/>
      <c r="J335" s="1178"/>
      <c r="K335" s="1178"/>
    </row>
    <row r="336" spans="2:11">
      <c r="B336" s="1175">
        <v>490016979</v>
      </c>
      <c r="C336" s="1175" t="s">
        <v>940</v>
      </c>
      <c r="D336" s="1175" t="s">
        <v>2017</v>
      </c>
      <c r="F336" s="1175">
        <v>490536570</v>
      </c>
      <c r="G336" s="1175" t="s">
        <v>994</v>
      </c>
      <c r="H336" s="1178" t="s">
        <v>1681</v>
      </c>
      <c r="I336" s="1178"/>
      <c r="J336" s="1178"/>
      <c r="K336" s="1178"/>
    </row>
    <row r="337" spans="2:11">
      <c r="B337" s="1175">
        <v>490020310</v>
      </c>
      <c r="C337" s="1175" t="s">
        <v>2091</v>
      </c>
      <c r="D337" s="1175" t="s">
        <v>2002</v>
      </c>
      <c r="F337" s="1175">
        <v>490000072</v>
      </c>
      <c r="G337" s="1175" t="s">
        <v>2094</v>
      </c>
      <c r="H337" s="1178" t="s">
        <v>1682</v>
      </c>
      <c r="I337" s="1178"/>
      <c r="J337" s="1178"/>
      <c r="K337" s="1178"/>
    </row>
    <row r="338" spans="2:11">
      <c r="B338" s="1175">
        <v>490020310</v>
      </c>
      <c r="C338" s="1175" t="s">
        <v>2091</v>
      </c>
      <c r="D338" s="1175" t="s">
        <v>2002</v>
      </c>
      <c r="F338" s="1175">
        <v>490000072</v>
      </c>
      <c r="G338" s="1175" t="s">
        <v>2094</v>
      </c>
      <c r="H338" s="1178" t="s">
        <v>1682</v>
      </c>
      <c r="I338" s="1178"/>
      <c r="J338" s="1178"/>
      <c r="K338" s="1178"/>
    </row>
    <row r="339" spans="2:11">
      <c r="B339" s="1175">
        <v>490020310</v>
      </c>
      <c r="C339" s="1175" t="s">
        <v>2091</v>
      </c>
      <c r="D339" s="1175" t="s">
        <v>2002</v>
      </c>
      <c r="F339" s="1175">
        <v>490011491</v>
      </c>
      <c r="G339" s="1175" t="s">
        <v>1251</v>
      </c>
      <c r="H339" s="1178" t="s">
        <v>1683</v>
      </c>
      <c r="I339" s="1178"/>
      <c r="J339" s="1178"/>
      <c r="K339" s="1178"/>
    </row>
    <row r="340" spans="2:11">
      <c r="B340" s="1175">
        <v>490020310</v>
      </c>
      <c r="C340" s="1175" t="s">
        <v>2091</v>
      </c>
      <c r="D340" s="1175" t="s">
        <v>2002</v>
      </c>
      <c r="F340" s="1175">
        <v>490017464</v>
      </c>
      <c r="G340" s="1175" t="s">
        <v>2095</v>
      </c>
      <c r="H340" s="1178" t="s">
        <v>1684</v>
      </c>
      <c r="I340" s="1178"/>
      <c r="J340" s="1178"/>
      <c r="K340" s="1178"/>
    </row>
    <row r="341" spans="2:11">
      <c r="B341" s="1175">
        <v>490020310</v>
      </c>
      <c r="C341" s="1175" t="s">
        <v>2091</v>
      </c>
      <c r="D341" s="1175" t="s">
        <v>2002</v>
      </c>
      <c r="F341" s="1175">
        <v>490018686</v>
      </c>
      <c r="G341" s="1175" t="s">
        <v>2095</v>
      </c>
      <c r="H341" s="1178" t="s">
        <v>1685</v>
      </c>
      <c r="I341" s="1178"/>
      <c r="J341" s="1178"/>
      <c r="K341" s="1178"/>
    </row>
    <row r="342" spans="2:11">
      <c r="B342" s="1175">
        <v>490020310</v>
      </c>
      <c r="C342" s="1175" t="s">
        <v>2091</v>
      </c>
      <c r="D342" s="1175" t="s">
        <v>2002</v>
      </c>
      <c r="F342" s="1175">
        <v>490018686</v>
      </c>
      <c r="G342" s="1175" t="s">
        <v>2095</v>
      </c>
      <c r="H342" s="1178" t="s">
        <v>1685</v>
      </c>
      <c r="I342" s="1178"/>
      <c r="J342" s="1178"/>
      <c r="K342" s="1178"/>
    </row>
    <row r="343" spans="2:11">
      <c r="B343" s="1175">
        <v>490020310</v>
      </c>
      <c r="C343" s="1175" t="s">
        <v>2091</v>
      </c>
      <c r="D343" s="1175" t="s">
        <v>2002</v>
      </c>
      <c r="F343" s="1175">
        <v>490020237</v>
      </c>
      <c r="G343" s="1175" t="s">
        <v>1252</v>
      </c>
      <c r="H343" s="1178" t="s">
        <v>1686</v>
      </c>
      <c r="I343" s="1178"/>
      <c r="J343" s="1178"/>
      <c r="K343" s="1178"/>
    </row>
    <row r="344" spans="2:11">
      <c r="B344" s="1175">
        <v>490020310</v>
      </c>
      <c r="C344" s="1175" t="s">
        <v>2091</v>
      </c>
      <c r="D344" s="1175" t="s">
        <v>2002</v>
      </c>
      <c r="F344" s="1175">
        <v>490020237</v>
      </c>
      <c r="G344" s="1175" t="s">
        <v>1252</v>
      </c>
      <c r="H344" s="1178" t="s">
        <v>1686</v>
      </c>
      <c r="I344" s="1178"/>
      <c r="J344" s="1178"/>
      <c r="K344" s="1178"/>
    </row>
    <row r="345" spans="2:11">
      <c r="B345" s="1175">
        <v>490020310</v>
      </c>
      <c r="C345" s="1175" t="s">
        <v>2091</v>
      </c>
      <c r="D345" s="1175" t="s">
        <v>2002</v>
      </c>
      <c r="F345" s="1175">
        <v>490543634</v>
      </c>
      <c r="G345" s="1175" t="s">
        <v>974</v>
      </c>
      <c r="H345" s="1178" t="s">
        <v>1687</v>
      </c>
      <c r="I345" s="1178"/>
      <c r="J345" s="1178"/>
      <c r="K345" s="1178"/>
    </row>
    <row r="346" spans="2:11">
      <c r="B346" s="1175">
        <v>490020310</v>
      </c>
      <c r="C346" s="1175" t="s">
        <v>2091</v>
      </c>
      <c r="D346" s="1175" t="s">
        <v>2002</v>
      </c>
      <c r="F346" s="1175">
        <v>490543634</v>
      </c>
      <c r="G346" s="1175" t="s">
        <v>974</v>
      </c>
      <c r="H346" s="1178" t="s">
        <v>1687</v>
      </c>
      <c r="I346" s="1178"/>
      <c r="J346" s="1178"/>
      <c r="K346" s="1178"/>
    </row>
    <row r="347" spans="2:11">
      <c r="B347" s="1175">
        <v>490020310</v>
      </c>
      <c r="C347" s="1175" t="s">
        <v>2091</v>
      </c>
      <c r="D347" s="1175" t="s">
        <v>2002</v>
      </c>
      <c r="F347" s="1175">
        <v>490543634</v>
      </c>
      <c r="G347" s="1175" t="s">
        <v>974</v>
      </c>
      <c r="H347" s="1178" t="s">
        <v>1687</v>
      </c>
      <c r="I347" s="1178"/>
      <c r="J347" s="1178"/>
      <c r="K347" s="1178"/>
    </row>
    <row r="348" spans="2:11">
      <c r="B348" s="1175">
        <v>490020310</v>
      </c>
      <c r="C348" s="1175" t="s">
        <v>2091</v>
      </c>
      <c r="D348" s="1175" t="s">
        <v>2002</v>
      </c>
      <c r="F348" s="1175">
        <v>490543634</v>
      </c>
      <c r="G348" s="1175" t="s">
        <v>974</v>
      </c>
      <c r="H348" s="1178" t="s">
        <v>1687</v>
      </c>
      <c r="I348" s="1178"/>
      <c r="J348" s="1178"/>
      <c r="K348" s="1178"/>
    </row>
    <row r="349" spans="2:11">
      <c r="B349" s="1175">
        <v>490534849</v>
      </c>
      <c r="C349" s="1175" t="s">
        <v>1009</v>
      </c>
      <c r="D349" s="1175" t="s">
        <v>2021</v>
      </c>
      <c r="F349" s="1175">
        <v>490000148</v>
      </c>
      <c r="G349" s="1175" t="s">
        <v>1253</v>
      </c>
      <c r="H349" s="1178" t="s">
        <v>1688</v>
      </c>
      <c r="I349" s="1178"/>
      <c r="J349" s="1178"/>
      <c r="K349" s="1178"/>
    </row>
    <row r="350" spans="2:11">
      <c r="B350" s="1175">
        <v>490534849</v>
      </c>
      <c r="C350" s="1175" t="s">
        <v>1009</v>
      </c>
      <c r="D350" s="1175" t="s">
        <v>2021</v>
      </c>
      <c r="F350" s="1175">
        <v>490000148</v>
      </c>
      <c r="G350" s="1175" t="s">
        <v>1253</v>
      </c>
      <c r="H350" s="1178" t="s">
        <v>1688</v>
      </c>
      <c r="I350" s="1178"/>
      <c r="J350" s="1178"/>
      <c r="K350" s="1178"/>
    </row>
    <row r="351" spans="2:11">
      <c r="B351" s="1175">
        <v>490534849</v>
      </c>
      <c r="C351" s="1175" t="s">
        <v>1009</v>
      </c>
      <c r="D351" s="1175" t="s">
        <v>2021</v>
      </c>
      <c r="F351" s="1175">
        <v>490000486</v>
      </c>
      <c r="G351" s="1175" t="s">
        <v>1254</v>
      </c>
      <c r="H351" s="1178" t="s">
        <v>1689</v>
      </c>
      <c r="I351" s="1178"/>
      <c r="J351" s="1178"/>
      <c r="K351" s="1178"/>
    </row>
    <row r="352" spans="2:11">
      <c r="B352" s="1175">
        <v>490534849</v>
      </c>
      <c r="C352" s="1175" t="s">
        <v>1009</v>
      </c>
      <c r="D352" s="1175" t="s">
        <v>2021</v>
      </c>
      <c r="F352" s="1175">
        <v>490000486</v>
      </c>
      <c r="G352" s="1175" t="s">
        <v>1254</v>
      </c>
      <c r="H352" s="1178" t="s">
        <v>1689</v>
      </c>
      <c r="I352" s="1178"/>
      <c r="J352" s="1178"/>
      <c r="K352" s="1178"/>
    </row>
    <row r="353" spans="2:11">
      <c r="B353" s="1175">
        <v>490535168</v>
      </c>
      <c r="C353" s="1175" t="s">
        <v>1255</v>
      </c>
      <c r="D353" s="1175" t="s">
        <v>2022</v>
      </c>
      <c r="F353" s="1175">
        <v>490008737</v>
      </c>
      <c r="G353" s="1175" t="s">
        <v>1021</v>
      </c>
      <c r="H353" s="1178" t="s">
        <v>1690</v>
      </c>
      <c r="I353" s="1178"/>
      <c r="J353" s="1178"/>
      <c r="K353" s="1178"/>
    </row>
    <row r="354" spans="2:11">
      <c r="B354" s="1175">
        <v>490535168</v>
      </c>
      <c r="C354" s="1175" t="s">
        <v>1255</v>
      </c>
      <c r="D354" s="1175" t="s">
        <v>2022</v>
      </c>
      <c r="F354" s="1175">
        <v>490008737</v>
      </c>
      <c r="G354" s="1175" t="s">
        <v>1021</v>
      </c>
      <c r="H354" s="1178" t="s">
        <v>1690</v>
      </c>
      <c r="I354" s="1178"/>
      <c r="J354" s="1178"/>
      <c r="K354" s="1178"/>
    </row>
    <row r="355" spans="2:11">
      <c r="B355" s="1175">
        <v>490535168</v>
      </c>
      <c r="C355" s="1175" t="s">
        <v>1255</v>
      </c>
      <c r="D355" s="1175" t="s">
        <v>2022</v>
      </c>
      <c r="F355" s="1175">
        <v>490008737</v>
      </c>
      <c r="G355" s="1175" t="s">
        <v>1021</v>
      </c>
      <c r="H355" s="1178" t="s">
        <v>1690</v>
      </c>
      <c r="I355" s="1178"/>
      <c r="J355" s="1178"/>
      <c r="K355" s="1178"/>
    </row>
    <row r="356" spans="2:11">
      <c r="B356" s="1175">
        <v>490535168</v>
      </c>
      <c r="C356" s="1175" t="s">
        <v>1255</v>
      </c>
      <c r="D356" s="1175" t="s">
        <v>2022</v>
      </c>
      <c r="F356" s="1175">
        <v>490016417</v>
      </c>
      <c r="G356" s="1175" t="s">
        <v>1256</v>
      </c>
      <c r="H356" s="1178" t="s">
        <v>1691</v>
      </c>
      <c r="I356" s="1178"/>
      <c r="J356" s="1178"/>
      <c r="K356" s="1178"/>
    </row>
    <row r="357" spans="2:11">
      <c r="B357" s="1175">
        <v>490011343</v>
      </c>
      <c r="C357" s="1175" t="s">
        <v>972</v>
      </c>
      <c r="D357" s="1175" t="s">
        <v>2018</v>
      </c>
      <c r="F357" s="1175">
        <v>490535762</v>
      </c>
      <c r="G357" s="1175" t="s">
        <v>1102</v>
      </c>
      <c r="H357" s="1178" t="s">
        <v>1674</v>
      </c>
      <c r="I357" s="1178"/>
      <c r="J357" s="1178"/>
      <c r="K357" s="1178"/>
    </row>
    <row r="358" spans="2:11">
      <c r="B358" s="1175">
        <v>490011343</v>
      </c>
      <c r="C358" s="1175" t="s">
        <v>972</v>
      </c>
      <c r="D358" s="1175" t="s">
        <v>2018</v>
      </c>
      <c r="F358" s="1175">
        <v>490535762</v>
      </c>
      <c r="G358" s="1175" t="s">
        <v>1102</v>
      </c>
      <c r="H358" s="1178" t="s">
        <v>1674</v>
      </c>
      <c r="I358" s="1178"/>
      <c r="J358" s="1178"/>
      <c r="K358" s="1178"/>
    </row>
    <row r="359" spans="2:11">
      <c r="B359" s="1175">
        <v>490011343</v>
      </c>
      <c r="C359" s="1175" t="s">
        <v>972</v>
      </c>
      <c r="D359" s="1175" t="s">
        <v>2018</v>
      </c>
      <c r="F359" s="1175">
        <v>490542750</v>
      </c>
      <c r="G359" s="1175" t="s">
        <v>1257</v>
      </c>
      <c r="H359" s="1178" t="s">
        <v>1692</v>
      </c>
      <c r="I359" s="1178"/>
      <c r="J359" s="1178"/>
      <c r="K359" s="1178"/>
    </row>
    <row r="360" spans="2:11">
      <c r="B360" s="1175">
        <v>490011798</v>
      </c>
      <c r="C360" s="1175" t="s">
        <v>1258</v>
      </c>
      <c r="D360" s="1175" t="s">
        <v>2023</v>
      </c>
      <c r="F360" s="1175">
        <v>490015773</v>
      </c>
      <c r="G360" s="1175" t="s">
        <v>1259</v>
      </c>
      <c r="H360" s="1178" t="s">
        <v>1693</v>
      </c>
      <c r="I360" s="1178"/>
      <c r="J360" s="1178"/>
      <c r="K360" s="1178"/>
    </row>
    <row r="361" spans="2:11">
      <c r="B361" s="1175">
        <v>490015344</v>
      </c>
      <c r="C361" s="1175" t="s">
        <v>1037</v>
      </c>
      <c r="D361" s="1175" t="s">
        <v>2019</v>
      </c>
      <c r="F361" s="1175">
        <v>490015351</v>
      </c>
      <c r="G361" s="1175" t="s">
        <v>990</v>
      </c>
      <c r="H361" s="1178" t="s">
        <v>1675</v>
      </c>
      <c r="I361" s="1178"/>
      <c r="J361" s="1178"/>
      <c r="K361" s="1178"/>
    </row>
    <row r="362" spans="2:11">
      <c r="B362" s="1175">
        <v>490015856</v>
      </c>
      <c r="C362" s="1175" t="s">
        <v>939</v>
      </c>
      <c r="D362" s="1175" t="s">
        <v>2020</v>
      </c>
      <c r="F362" s="1175">
        <v>490543303</v>
      </c>
      <c r="G362" s="1175" t="s">
        <v>938</v>
      </c>
      <c r="H362" s="1178" t="s">
        <v>1694</v>
      </c>
      <c r="I362" s="1178"/>
      <c r="J362" s="1178"/>
      <c r="K362" s="1178"/>
    </row>
    <row r="363" spans="2:11">
      <c r="B363" s="1175">
        <v>490015856</v>
      </c>
      <c r="C363" s="1175" t="s">
        <v>939</v>
      </c>
      <c r="D363" s="1175" t="s">
        <v>2020</v>
      </c>
      <c r="F363" s="1175">
        <v>490543303</v>
      </c>
      <c r="G363" s="1175" t="s">
        <v>938</v>
      </c>
      <c r="H363" s="1178" t="s">
        <v>1694</v>
      </c>
      <c r="I363" s="1178"/>
      <c r="J363" s="1178"/>
      <c r="K363" s="1178"/>
    </row>
    <row r="364" spans="2:11">
      <c r="B364" s="1175">
        <v>490015856</v>
      </c>
      <c r="C364" s="1175" t="s">
        <v>939</v>
      </c>
      <c r="D364" s="1175" t="s">
        <v>2020</v>
      </c>
      <c r="F364" s="1175">
        <v>490543303</v>
      </c>
      <c r="G364" s="1175" t="s">
        <v>938</v>
      </c>
      <c r="H364" s="1178" t="s">
        <v>1694</v>
      </c>
      <c r="I364" s="1178"/>
      <c r="J364" s="1178"/>
      <c r="K364" s="1178"/>
    </row>
    <row r="365" spans="2:11">
      <c r="B365" s="1175">
        <v>490016979</v>
      </c>
      <c r="C365" s="1175" t="s">
        <v>940</v>
      </c>
      <c r="D365" s="1175" t="s">
        <v>2017</v>
      </c>
      <c r="F365" s="1175">
        <v>490008752</v>
      </c>
      <c r="G365" s="1175" t="s">
        <v>1095</v>
      </c>
      <c r="H365" s="1178" t="s">
        <v>1678</v>
      </c>
      <c r="I365" s="1178"/>
      <c r="J365" s="1178"/>
      <c r="K365" s="1178"/>
    </row>
    <row r="366" spans="2:11">
      <c r="B366" s="1175">
        <v>490016979</v>
      </c>
      <c r="C366" s="1175" t="s">
        <v>940</v>
      </c>
      <c r="D366" s="1175" t="s">
        <v>2017</v>
      </c>
      <c r="F366" s="1175">
        <v>490016961</v>
      </c>
      <c r="G366" s="1175" t="s">
        <v>1094</v>
      </c>
      <c r="H366" s="1178" t="s">
        <v>1695</v>
      </c>
      <c r="I366" s="1178"/>
      <c r="J366" s="1178"/>
      <c r="K366" s="1178"/>
    </row>
    <row r="367" spans="2:11">
      <c r="B367" s="1175">
        <v>490016979</v>
      </c>
      <c r="C367" s="1175" t="s">
        <v>940</v>
      </c>
      <c r="D367" s="1175" t="s">
        <v>2017</v>
      </c>
      <c r="F367" s="1175">
        <v>490016961</v>
      </c>
      <c r="G367" s="1175" t="s">
        <v>1094</v>
      </c>
      <c r="H367" s="1178" t="s">
        <v>1695</v>
      </c>
      <c r="I367" s="1178"/>
      <c r="J367" s="1178"/>
      <c r="K367" s="1178"/>
    </row>
    <row r="368" spans="2:11">
      <c r="B368" s="1175">
        <v>490016979</v>
      </c>
      <c r="C368" s="1175" t="s">
        <v>940</v>
      </c>
      <c r="D368" s="1175" t="s">
        <v>2017</v>
      </c>
      <c r="F368" s="1175">
        <v>490016961</v>
      </c>
      <c r="G368" s="1175" t="s">
        <v>1094</v>
      </c>
      <c r="H368" s="1178" t="s">
        <v>1695</v>
      </c>
      <c r="I368" s="1178"/>
      <c r="J368" s="1178"/>
      <c r="K368" s="1178"/>
    </row>
    <row r="369" spans="2:11">
      <c r="B369" s="1175">
        <v>490016979</v>
      </c>
      <c r="C369" s="1175" t="s">
        <v>940</v>
      </c>
      <c r="D369" s="1175" t="s">
        <v>2017</v>
      </c>
      <c r="F369" s="1175">
        <v>490016961</v>
      </c>
      <c r="G369" s="1175" t="s">
        <v>1094</v>
      </c>
      <c r="H369" s="1178" t="s">
        <v>1695</v>
      </c>
      <c r="I369" s="1178"/>
      <c r="J369" s="1178"/>
      <c r="K369" s="1178"/>
    </row>
    <row r="370" spans="2:11">
      <c r="B370" s="1175">
        <v>490016979</v>
      </c>
      <c r="C370" s="1175" t="s">
        <v>940</v>
      </c>
      <c r="D370" s="1175" t="s">
        <v>2017</v>
      </c>
      <c r="F370" s="1175">
        <v>490525029</v>
      </c>
      <c r="G370" s="1175" t="s">
        <v>1093</v>
      </c>
      <c r="H370" s="1178" t="s">
        <v>1696</v>
      </c>
      <c r="I370" s="1178"/>
      <c r="J370" s="1178"/>
      <c r="K370" s="1178"/>
    </row>
    <row r="371" spans="2:11">
      <c r="B371" s="1175">
        <v>490020310</v>
      </c>
      <c r="C371" s="1175" t="s">
        <v>2091</v>
      </c>
      <c r="D371" s="1175" t="s">
        <v>2002</v>
      </c>
      <c r="F371" s="1175">
        <v>490016250</v>
      </c>
      <c r="G371" s="1175" t="s">
        <v>2095</v>
      </c>
      <c r="H371" s="1178" t="s">
        <v>1697</v>
      </c>
      <c r="I371" s="1178"/>
      <c r="J371" s="1178"/>
      <c r="K371" s="1178"/>
    </row>
    <row r="372" spans="2:11">
      <c r="B372" s="1175">
        <v>490020310</v>
      </c>
      <c r="C372" s="1175" t="s">
        <v>2091</v>
      </c>
      <c r="D372" s="1175" t="s">
        <v>2002</v>
      </c>
      <c r="F372" s="1175">
        <v>490016250</v>
      </c>
      <c r="G372" s="1175" t="s">
        <v>2095</v>
      </c>
      <c r="H372" s="1178" t="s">
        <v>1697</v>
      </c>
      <c r="I372" s="1178"/>
      <c r="J372" s="1178"/>
      <c r="K372" s="1178"/>
    </row>
    <row r="373" spans="2:11">
      <c r="B373" s="1175">
        <v>490020310</v>
      </c>
      <c r="C373" s="1175" t="s">
        <v>2091</v>
      </c>
      <c r="D373" s="1175" t="s">
        <v>2002</v>
      </c>
      <c r="F373" s="1175">
        <v>490017142</v>
      </c>
      <c r="G373" s="1175" t="s">
        <v>2094</v>
      </c>
      <c r="H373" s="1178" t="s">
        <v>1698</v>
      </c>
      <c r="I373" s="1178"/>
      <c r="J373" s="1178"/>
      <c r="K373" s="1178"/>
    </row>
    <row r="374" spans="2:11">
      <c r="B374" s="1175">
        <v>490020310</v>
      </c>
      <c r="C374" s="1175" t="s">
        <v>2091</v>
      </c>
      <c r="D374" s="1175" t="s">
        <v>2002</v>
      </c>
      <c r="F374" s="1175">
        <v>490017142</v>
      </c>
      <c r="G374" s="1175" t="s">
        <v>2094</v>
      </c>
      <c r="H374" s="1178" t="s">
        <v>1698</v>
      </c>
      <c r="I374" s="1178"/>
      <c r="J374" s="1178"/>
      <c r="K374" s="1178"/>
    </row>
    <row r="375" spans="2:11">
      <c r="B375" s="1175">
        <v>490020310</v>
      </c>
      <c r="C375" s="1175" t="s">
        <v>2091</v>
      </c>
      <c r="D375" s="1175" t="s">
        <v>2002</v>
      </c>
      <c r="F375" s="1175">
        <v>490017464</v>
      </c>
      <c r="G375" s="1175" t="s">
        <v>2095</v>
      </c>
      <c r="H375" s="1178" t="s">
        <v>1684</v>
      </c>
      <c r="I375" s="1178"/>
      <c r="J375" s="1178"/>
      <c r="K375" s="1178"/>
    </row>
    <row r="376" spans="2:11">
      <c r="B376" s="1175">
        <v>490020310</v>
      </c>
      <c r="C376" s="1175" t="s">
        <v>2091</v>
      </c>
      <c r="D376" s="1175" t="s">
        <v>2002</v>
      </c>
      <c r="F376" s="1175">
        <v>490020237</v>
      </c>
      <c r="G376" s="1175" t="s">
        <v>1252</v>
      </c>
      <c r="H376" s="1178" t="s">
        <v>1686</v>
      </c>
      <c r="I376" s="1178"/>
      <c r="J376" s="1178"/>
      <c r="K376" s="1178"/>
    </row>
    <row r="377" spans="2:11">
      <c r="B377" s="1175">
        <v>490020310</v>
      </c>
      <c r="C377" s="1175" t="s">
        <v>2091</v>
      </c>
      <c r="D377" s="1175" t="s">
        <v>2002</v>
      </c>
      <c r="F377" s="1175">
        <v>490543113</v>
      </c>
      <c r="G377" s="1175" t="s">
        <v>2095</v>
      </c>
      <c r="H377" s="1178" t="s">
        <v>1699</v>
      </c>
      <c r="I377" s="1178"/>
      <c r="J377" s="1178"/>
      <c r="K377" s="1178"/>
    </row>
    <row r="378" spans="2:11">
      <c r="B378" s="1175">
        <v>490020310</v>
      </c>
      <c r="C378" s="1175" t="s">
        <v>2091</v>
      </c>
      <c r="D378" s="1175" t="s">
        <v>2002</v>
      </c>
      <c r="F378" s="1175">
        <v>490543113</v>
      </c>
      <c r="G378" s="1175" t="s">
        <v>2095</v>
      </c>
      <c r="H378" s="1178" t="s">
        <v>1699</v>
      </c>
      <c r="I378" s="1178"/>
      <c r="J378" s="1178"/>
      <c r="K378" s="1178"/>
    </row>
    <row r="379" spans="2:11">
      <c r="B379" s="1175">
        <v>490020310</v>
      </c>
      <c r="C379" s="1175" t="s">
        <v>2091</v>
      </c>
      <c r="D379" s="1175" t="s">
        <v>2002</v>
      </c>
      <c r="F379" s="1175">
        <v>490543113</v>
      </c>
      <c r="G379" s="1175" t="s">
        <v>2095</v>
      </c>
      <c r="H379" s="1178" t="s">
        <v>1699</v>
      </c>
      <c r="I379" s="1178"/>
      <c r="J379" s="1178"/>
      <c r="K379" s="1178"/>
    </row>
    <row r="380" spans="2:11">
      <c r="B380" s="1175">
        <v>490534831</v>
      </c>
      <c r="C380" s="1175" t="s">
        <v>1260</v>
      </c>
      <c r="D380" s="1175" t="s">
        <v>2024</v>
      </c>
      <c r="F380" s="1175">
        <v>490541083</v>
      </c>
      <c r="G380" s="1175" t="s">
        <v>989</v>
      </c>
      <c r="H380" s="1178" t="s">
        <v>1700</v>
      </c>
      <c r="I380" s="1178"/>
      <c r="J380" s="1178"/>
      <c r="K380" s="1178"/>
    </row>
    <row r="381" spans="2:11">
      <c r="B381" s="1175">
        <v>490534849</v>
      </c>
      <c r="C381" s="1175" t="s">
        <v>1009</v>
      </c>
      <c r="D381" s="1175" t="s">
        <v>2021</v>
      </c>
      <c r="F381" s="1175">
        <v>490000122</v>
      </c>
      <c r="G381" s="1175" t="s">
        <v>1261</v>
      </c>
      <c r="H381" s="1178" t="s">
        <v>1701</v>
      </c>
      <c r="I381" s="1178"/>
      <c r="J381" s="1178"/>
      <c r="K381" s="1178"/>
    </row>
    <row r="382" spans="2:11">
      <c r="B382" s="1175">
        <v>490534849</v>
      </c>
      <c r="C382" s="1175" t="s">
        <v>1009</v>
      </c>
      <c r="D382" s="1175" t="s">
        <v>2021</v>
      </c>
      <c r="F382" s="1175">
        <v>490000122</v>
      </c>
      <c r="G382" s="1175" t="s">
        <v>1261</v>
      </c>
      <c r="H382" s="1178" t="s">
        <v>1701</v>
      </c>
      <c r="I382" s="1178"/>
      <c r="J382" s="1178"/>
      <c r="K382" s="1178"/>
    </row>
    <row r="383" spans="2:11">
      <c r="B383" s="1175">
        <v>490534849</v>
      </c>
      <c r="C383" s="1175" t="s">
        <v>1009</v>
      </c>
      <c r="D383" s="1175" t="s">
        <v>2021</v>
      </c>
      <c r="F383" s="1175">
        <v>490000122</v>
      </c>
      <c r="G383" s="1175" t="s">
        <v>1261</v>
      </c>
      <c r="H383" s="1178" t="s">
        <v>1701</v>
      </c>
      <c r="I383" s="1178"/>
      <c r="J383" s="1178"/>
      <c r="K383" s="1178"/>
    </row>
    <row r="384" spans="2:11">
      <c r="B384" s="1175">
        <v>490534849</v>
      </c>
      <c r="C384" s="1175" t="s">
        <v>1009</v>
      </c>
      <c r="D384" s="1175" t="s">
        <v>2021</v>
      </c>
      <c r="F384" s="1175">
        <v>490007796</v>
      </c>
      <c r="G384" s="1175" t="s">
        <v>1262</v>
      </c>
      <c r="H384" s="1178" t="s">
        <v>1702</v>
      </c>
      <c r="I384" s="1178"/>
      <c r="J384" s="1178"/>
      <c r="K384" s="1178"/>
    </row>
    <row r="385" spans="2:11">
      <c r="B385" s="1175">
        <v>490534849</v>
      </c>
      <c r="C385" s="1175" t="s">
        <v>1009</v>
      </c>
      <c r="D385" s="1175" t="s">
        <v>2021</v>
      </c>
      <c r="F385" s="1175">
        <v>490016599</v>
      </c>
      <c r="G385" s="1175" t="s">
        <v>1263</v>
      </c>
      <c r="H385" s="1178" t="s">
        <v>1703</v>
      </c>
      <c r="I385" s="1178"/>
      <c r="J385" s="1178"/>
      <c r="K385" s="1178"/>
    </row>
    <row r="386" spans="2:11">
      <c r="B386" s="1175">
        <v>490535168</v>
      </c>
      <c r="C386" s="1175" t="s">
        <v>1255</v>
      </c>
      <c r="D386" s="1175" t="s">
        <v>2022</v>
      </c>
      <c r="F386" s="1175">
        <v>490000098</v>
      </c>
      <c r="G386" s="1175" t="s">
        <v>1264</v>
      </c>
      <c r="H386" s="1178" t="s">
        <v>1704</v>
      </c>
      <c r="I386" s="1178"/>
      <c r="J386" s="1178"/>
      <c r="K386" s="1178"/>
    </row>
    <row r="387" spans="2:11">
      <c r="B387" s="1175">
        <v>490535168</v>
      </c>
      <c r="C387" s="1175" t="s">
        <v>1255</v>
      </c>
      <c r="D387" s="1175" t="s">
        <v>2022</v>
      </c>
      <c r="F387" s="1175">
        <v>490000098</v>
      </c>
      <c r="G387" s="1175" t="s">
        <v>1264</v>
      </c>
      <c r="H387" s="1178" t="s">
        <v>1704</v>
      </c>
      <c r="I387" s="1178"/>
      <c r="J387" s="1178"/>
      <c r="K387" s="1178"/>
    </row>
    <row r="388" spans="2:11">
      <c r="B388" s="1175">
        <v>490535168</v>
      </c>
      <c r="C388" s="1175" t="s">
        <v>1255</v>
      </c>
      <c r="D388" s="1175" t="s">
        <v>2022</v>
      </c>
      <c r="F388" s="1175">
        <v>490016417</v>
      </c>
      <c r="G388" s="1175" t="s">
        <v>1256</v>
      </c>
      <c r="H388" s="1178" t="s">
        <v>1691</v>
      </c>
      <c r="I388" s="1178"/>
      <c r="J388" s="1178"/>
      <c r="K388" s="1178"/>
    </row>
    <row r="389" spans="2:11">
      <c r="B389" s="1175">
        <v>490535168</v>
      </c>
      <c r="C389" s="1175" t="s">
        <v>1255</v>
      </c>
      <c r="D389" s="1175" t="s">
        <v>2022</v>
      </c>
      <c r="F389" s="1175">
        <v>490016516</v>
      </c>
      <c r="G389" s="1175" t="s">
        <v>1265</v>
      </c>
      <c r="H389" s="1178" t="s">
        <v>1691</v>
      </c>
      <c r="I389" s="1178"/>
      <c r="J389" s="1178"/>
      <c r="K389" s="1178"/>
    </row>
    <row r="390" spans="2:11">
      <c r="B390" s="1175">
        <v>490535168</v>
      </c>
      <c r="C390" s="1175" t="s">
        <v>1255</v>
      </c>
      <c r="D390" s="1175" t="s">
        <v>2022</v>
      </c>
      <c r="F390" s="1175">
        <v>490016516</v>
      </c>
      <c r="G390" s="1175" t="s">
        <v>1265</v>
      </c>
      <c r="H390" s="1178" t="s">
        <v>1691</v>
      </c>
      <c r="I390" s="1178"/>
      <c r="J390" s="1178"/>
      <c r="K390" s="1178"/>
    </row>
    <row r="391" spans="2:11">
      <c r="B391" s="1175">
        <v>490535168</v>
      </c>
      <c r="C391" s="1175" t="s">
        <v>1255</v>
      </c>
      <c r="D391" s="1175" t="s">
        <v>2022</v>
      </c>
      <c r="F391" s="1175">
        <v>490016516</v>
      </c>
      <c r="G391" s="1175" t="s">
        <v>1265</v>
      </c>
      <c r="H391" s="1178" t="s">
        <v>1691</v>
      </c>
      <c r="I391" s="1178"/>
      <c r="J391" s="1178"/>
      <c r="K391" s="1178"/>
    </row>
    <row r="392" spans="2:11">
      <c r="B392" s="1175">
        <v>490535168</v>
      </c>
      <c r="C392" s="1175" t="s">
        <v>1255</v>
      </c>
      <c r="D392" s="1175" t="s">
        <v>2022</v>
      </c>
      <c r="F392" s="1175">
        <v>490019817</v>
      </c>
      <c r="G392" s="1175" t="s">
        <v>961</v>
      </c>
      <c r="H392" s="1178" t="s">
        <v>1705</v>
      </c>
      <c r="I392" s="1178"/>
      <c r="J392" s="1178"/>
      <c r="K392" s="1178"/>
    </row>
    <row r="393" spans="2:11">
      <c r="B393" s="1175">
        <v>490535168</v>
      </c>
      <c r="C393" s="1175" t="s">
        <v>1255</v>
      </c>
      <c r="D393" s="1175" t="s">
        <v>2022</v>
      </c>
      <c r="F393" s="1175">
        <v>490525011</v>
      </c>
      <c r="G393" s="1175" t="s">
        <v>1011</v>
      </c>
      <c r="H393" s="1178" t="s">
        <v>1706</v>
      </c>
      <c r="I393" s="1178"/>
      <c r="J393" s="1178"/>
      <c r="K393" s="1178"/>
    </row>
    <row r="394" spans="2:11">
      <c r="B394" s="1175">
        <v>490535168</v>
      </c>
      <c r="C394" s="1175" t="s">
        <v>1255</v>
      </c>
      <c r="D394" s="1175" t="s">
        <v>2022</v>
      </c>
      <c r="F394" s="1175">
        <v>490525011</v>
      </c>
      <c r="G394" s="1175" t="s">
        <v>1011</v>
      </c>
      <c r="H394" s="1178" t="s">
        <v>1706</v>
      </c>
      <c r="I394" s="1178"/>
      <c r="J394" s="1178"/>
      <c r="K394" s="1178"/>
    </row>
    <row r="395" spans="2:11">
      <c r="B395" s="1175">
        <v>490535168</v>
      </c>
      <c r="C395" s="1175" t="s">
        <v>1255</v>
      </c>
      <c r="D395" s="1175" t="s">
        <v>2022</v>
      </c>
      <c r="F395" s="1175">
        <v>490525011</v>
      </c>
      <c r="G395" s="1175" t="s">
        <v>1011</v>
      </c>
      <c r="H395" s="1178" t="s">
        <v>1706</v>
      </c>
      <c r="I395" s="1178"/>
      <c r="J395" s="1178"/>
      <c r="K395" s="1178"/>
    </row>
    <row r="396" spans="2:11">
      <c r="B396" s="1175">
        <v>490535168</v>
      </c>
      <c r="C396" s="1175" t="s">
        <v>1255</v>
      </c>
      <c r="D396" s="1175" t="s">
        <v>2022</v>
      </c>
      <c r="F396" s="1175">
        <v>490532090</v>
      </c>
      <c r="G396" s="1175" t="s">
        <v>1266</v>
      </c>
      <c r="H396" s="1178" t="s">
        <v>1707</v>
      </c>
      <c r="I396" s="1178"/>
      <c r="J396" s="1178"/>
      <c r="K396" s="1178"/>
    </row>
    <row r="397" spans="2:11">
      <c r="B397" s="1175">
        <v>490535168</v>
      </c>
      <c r="C397" s="1175" t="s">
        <v>1255</v>
      </c>
      <c r="D397" s="1175" t="s">
        <v>2022</v>
      </c>
      <c r="F397" s="1175">
        <v>490542735</v>
      </c>
      <c r="G397" s="1175" t="s">
        <v>967</v>
      </c>
      <c r="H397" s="1178" t="s">
        <v>1708</v>
      </c>
      <c r="I397" s="1178"/>
      <c r="J397" s="1178"/>
      <c r="K397" s="1178"/>
    </row>
    <row r="398" spans="2:11">
      <c r="B398" s="1175">
        <v>490535168</v>
      </c>
      <c r="C398" s="1175" t="s">
        <v>1255</v>
      </c>
      <c r="D398" s="1175" t="s">
        <v>2022</v>
      </c>
      <c r="F398" s="1175">
        <v>490542735</v>
      </c>
      <c r="G398" s="1175" t="s">
        <v>967</v>
      </c>
      <c r="H398" s="1178" t="s">
        <v>1708</v>
      </c>
      <c r="I398" s="1178"/>
      <c r="J398" s="1178"/>
      <c r="K398" s="1178"/>
    </row>
    <row r="399" spans="2:11">
      <c r="B399" s="1175">
        <v>490535168</v>
      </c>
      <c r="C399" s="1175" t="s">
        <v>1255</v>
      </c>
      <c r="D399" s="1175" t="s">
        <v>2022</v>
      </c>
      <c r="F399" s="1175">
        <v>490542735</v>
      </c>
      <c r="G399" s="1175" t="s">
        <v>967</v>
      </c>
      <c r="H399" s="1178" t="s">
        <v>1708</v>
      </c>
      <c r="I399" s="1178"/>
      <c r="J399" s="1178"/>
      <c r="K399" s="1178"/>
    </row>
    <row r="400" spans="2:11">
      <c r="B400" s="1175">
        <v>490535184</v>
      </c>
      <c r="C400" s="1175" t="s">
        <v>1000</v>
      </c>
      <c r="D400" s="1175" t="s">
        <v>2025</v>
      </c>
      <c r="F400" s="1175">
        <v>490000551</v>
      </c>
      <c r="G400" s="1175" t="s">
        <v>1267</v>
      </c>
      <c r="H400" s="1178" t="s">
        <v>1709</v>
      </c>
      <c r="I400" s="1178"/>
      <c r="J400" s="1178"/>
      <c r="K400" s="1178"/>
    </row>
    <row r="401" spans="2:11">
      <c r="B401" s="1175">
        <v>490535184</v>
      </c>
      <c r="C401" s="1175" t="s">
        <v>1000</v>
      </c>
      <c r="D401" s="1175" t="s">
        <v>2025</v>
      </c>
      <c r="F401" s="1175">
        <v>490008430</v>
      </c>
      <c r="G401" s="1175" t="s">
        <v>1268</v>
      </c>
      <c r="H401" s="1178" t="s">
        <v>1710</v>
      </c>
      <c r="I401" s="1178"/>
      <c r="J401" s="1178"/>
      <c r="K401" s="1178"/>
    </row>
    <row r="402" spans="2:11">
      <c r="B402" s="1175">
        <v>490535184</v>
      </c>
      <c r="C402" s="1175" t="s">
        <v>1000</v>
      </c>
      <c r="D402" s="1175" t="s">
        <v>2025</v>
      </c>
      <c r="F402" s="1175">
        <v>490008430</v>
      </c>
      <c r="G402" s="1175" t="s">
        <v>1268</v>
      </c>
      <c r="H402" s="1178" t="s">
        <v>1710</v>
      </c>
      <c r="I402" s="1178"/>
      <c r="J402" s="1178"/>
      <c r="K402" s="1178"/>
    </row>
    <row r="403" spans="2:11">
      <c r="B403" s="1175">
        <v>490535184</v>
      </c>
      <c r="C403" s="1175" t="s">
        <v>1000</v>
      </c>
      <c r="D403" s="1175" t="s">
        <v>2025</v>
      </c>
      <c r="F403" s="1175">
        <v>490012069</v>
      </c>
      <c r="G403" s="1175" t="s">
        <v>941</v>
      </c>
      <c r="H403" s="1178" t="s">
        <v>1711</v>
      </c>
      <c r="I403" s="1178"/>
      <c r="J403" s="1178"/>
      <c r="K403" s="1178"/>
    </row>
    <row r="404" spans="2:11">
      <c r="B404" s="1175">
        <v>490535184</v>
      </c>
      <c r="C404" s="1175" t="s">
        <v>1000</v>
      </c>
      <c r="D404" s="1175" t="s">
        <v>2025</v>
      </c>
      <c r="F404" s="1175">
        <v>490012069</v>
      </c>
      <c r="G404" s="1175" t="s">
        <v>941</v>
      </c>
      <c r="H404" s="1178" t="s">
        <v>1711</v>
      </c>
      <c r="I404" s="1178"/>
      <c r="J404" s="1178"/>
      <c r="K404" s="1178"/>
    </row>
    <row r="405" spans="2:11">
      <c r="B405" s="1175">
        <v>490535184</v>
      </c>
      <c r="C405" s="1175" t="s">
        <v>1000</v>
      </c>
      <c r="D405" s="1175" t="s">
        <v>2025</v>
      </c>
      <c r="F405" s="1175">
        <v>490531720</v>
      </c>
      <c r="G405" s="1175" t="s">
        <v>1269</v>
      </c>
      <c r="H405" s="1178" t="s">
        <v>1712</v>
      </c>
      <c r="I405" s="1178"/>
      <c r="J405" s="1178"/>
      <c r="K405" s="1178"/>
    </row>
    <row r="406" spans="2:11">
      <c r="B406" s="1175">
        <v>490535184</v>
      </c>
      <c r="C406" s="1175" t="s">
        <v>1000</v>
      </c>
      <c r="D406" s="1175" t="s">
        <v>2025</v>
      </c>
      <c r="F406" s="1175">
        <v>490537289</v>
      </c>
      <c r="G406" s="1175" t="s">
        <v>1270</v>
      </c>
      <c r="H406" s="1178" t="s">
        <v>1709</v>
      </c>
      <c r="I406" s="1178"/>
      <c r="J406" s="1178"/>
      <c r="K406" s="1178"/>
    </row>
    <row r="407" spans="2:11">
      <c r="B407" s="1175">
        <v>490535184</v>
      </c>
      <c r="C407" s="1175" t="s">
        <v>1000</v>
      </c>
      <c r="D407" s="1175" t="s">
        <v>2025</v>
      </c>
      <c r="F407" s="1175">
        <v>490537289</v>
      </c>
      <c r="G407" s="1175" t="s">
        <v>1270</v>
      </c>
      <c r="H407" s="1178" t="s">
        <v>1709</v>
      </c>
      <c r="I407" s="1178"/>
      <c r="J407" s="1178"/>
      <c r="K407" s="1178"/>
    </row>
    <row r="408" spans="2:11">
      <c r="B408" s="1175">
        <v>490535184</v>
      </c>
      <c r="C408" s="1175" t="s">
        <v>1000</v>
      </c>
      <c r="D408" s="1175" t="s">
        <v>2025</v>
      </c>
      <c r="F408" s="1175">
        <v>490537297</v>
      </c>
      <c r="G408" s="1175" t="s">
        <v>1271</v>
      </c>
      <c r="H408" s="1178" t="s">
        <v>1713</v>
      </c>
      <c r="I408" s="1178"/>
      <c r="J408" s="1178"/>
      <c r="K408" s="1178"/>
    </row>
    <row r="409" spans="2:11">
      <c r="B409" s="1175">
        <v>490535184</v>
      </c>
      <c r="C409" s="1175" t="s">
        <v>1000</v>
      </c>
      <c r="D409" s="1175" t="s">
        <v>2025</v>
      </c>
      <c r="F409" s="1175">
        <v>490542974</v>
      </c>
      <c r="G409" s="1175" t="s">
        <v>1272</v>
      </c>
      <c r="H409" s="1178" t="s">
        <v>1714</v>
      </c>
      <c r="I409" s="1178"/>
      <c r="J409" s="1178"/>
      <c r="K409" s="1178"/>
    </row>
    <row r="410" spans="2:11">
      <c r="B410" s="1175">
        <v>490535192</v>
      </c>
      <c r="C410" s="1175" t="s">
        <v>1027</v>
      </c>
      <c r="D410" s="1175" t="s">
        <v>2026</v>
      </c>
      <c r="F410" s="1175">
        <v>490000502</v>
      </c>
      <c r="G410" s="1175" t="s">
        <v>1018</v>
      </c>
      <c r="H410" s="1178" t="s">
        <v>1715</v>
      </c>
      <c r="I410" s="1178"/>
      <c r="J410" s="1178"/>
      <c r="K410" s="1178"/>
    </row>
    <row r="411" spans="2:11">
      <c r="B411" s="1175">
        <v>490535192</v>
      </c>
      <c r="C411" s="1175" t="s">
        <v>1027</v>
      </c>
      <c r="D411" s="1175" t="s">
        <v>2026</v>
      </c>
      <c r="F411" s="1175">
        <v>490000502</v>
      </c>
      <c r="G411" s="1175" t="s">
        <v>1018</v>
      </c>
      <c r="H411" s="1178" t="s">
        <v>1715</v>
      </c>
      <c r="I411" s="1178"/>
      <c r="J411" s="1178"/>
      <c r="K411" s="1178"/>
    </row>
    <row r="412" spans="2:11">
      <c r="B412" s="1175">
        <v>490535192</v>
      </c>
      <c r="C412" s="1175" t="s">
        <v>1027</v>
      </c>
      <c r="D412" s="1175" t="s">
        <v>2026</v>
      </c>
      <c r="F412" s="1175">
        <v>490000502</v>
      </c>
      <c r="G412" s="1175" t="s">
        <v>1018</v>
      </c>
      <c r="H412" s="1178" t="s">
        <v>1715</v>
      </c>
      <c r="I412" s="1178"/>
      <c r="J412" s="1178"/>
      <c r="K412" s="1178"/>
    </row>
    <row r="413" spans="2:11">
      <c r="B413" s="1175">
        <v>490535192</v>
      </c>
      <c r="C413" s="1175" t="s">
        <v>1027</v>
      </c>
      <c r="D413" s="1175" t="s">
        <v>2026</v>
      </c>
      <c r="F413" s="1175">
        <v>490000510</v>
      </c>
      <c r="G413" s="1175" t="s">
        <v>1017</v>
      </c>
      <c r="H413" s="1178" t="s">
        <v>1716</v>
      </c>
      <c r="I413" s="1178"/>
      <c r="J413" s="1178"/>
      <c r="K413" s="1178"/>
    </row>
    <row r="414" spans="2:11">
      <c r="B414" s="1175">
        <v>490535192</v>
      </c>
      <c r="C414" s="1175" t="s">
        <v>1027</v>
      </c>
      <c r="D414" s="1175" t="s">
        <v>2026</v>
      </c>
      <c r="F414" s="1175">
        <v>490000528</v>
      </c>
      <c r="G414" s="1175" t="s">
        <v>1016</v>
      </c>
      <c r="H414" s="1178" t="s">
        <v>1717</v>
      </c>
      <c r="I414" s="1178"/>
      <c r="J414" s="1178"/>
      <c r="K414" s="1178"/>
    </row>
    <row r="415" spans="2:11">
      <c r="B415" s="1175">
        <v>490535192</v>
      </c>
      <c r="C415" s="1175" t="s">
        <v>1027</v>
      </c>
      <c r="D415" s="1175" t="s">
        <v>2026</v>
      </c>
      <c r="F415" s="1175">
        <v>490000536</v>
      </c>
      <c r="G415" s="1175" t="s">
        <v>1019</v>
      </c>
      <c r="H415" s="1178" t="s">
        <v>1718</v>
      </c>
      <c r="I415" s="1178"/>
      <c r="J415" s="1178"/>
      <c r="K415" s="1178"/>
    </row>
    <row r="416" spans="2:11">
      <c r="B416" s="1175">
        <v>490535192</v>
      </c>
      <c r="C416" s="1175" t="s">
        <v>1027</v>
      </c>
      <c r="D416" s="1175" t="s">
        <v>2026</v>
      </c>
      <c r="F416" s="1175">
        <v>490000536</v>
      </c>
      <c r="G416" s="1175" t="s">
        <v>1019</v>
      </c>
      <c r="H416" s="1178" t="s">
        <v>1718</v>
      </c>
      <c r="I416" s="1178"/>
      <c r="J416" s="1178"/>
      <c r="K416" s="1178"/>
    </row>
    <row r="417" spans="2:11">
      <c r="B417" s="1175">
        <v>490535192</v>
      </c>
      <c r="C417" s="1175" t="s">
        <v>1027</v>
      </c>
      <c r="D417" s="1175" t="s">
        <v>2026</v>
      </c>
      <c r="F417" s="1175">
        <v>490000536</v>
      </c>
      <c r="G417" s="1175" t="s">
        <v>1019</v>
      </c>
      <c r="H417" s="1178" t="s">
        <v>1718</v>
      </c>
      <c r="I417" s="1178"/>
      <c r="J417" s="1178"/>
      <c r="K417" s="1178"/>
    </row>
    <row r="418" spans="2:11">
      <c r="B418" s="1175">
        <v>490535192</v>
      </c>
      <c r="C418" s="1175" t="s">
        <v>1027</v>
      </c>
      <c r="D418" s="1175" t="s">
        <v>2026</v>
      </c>
      <c r="F418" s="1175">
        <v>490000536</v>
      </c>
      <c r="G418" s="1175" t="s">
        <v>1019</v>
      </c>
      <c r="H418" s="1178" t="s">
        <v>1718</v>
      </c>
      <c r="I418" s="1178"/>
      <c r="J418" s="1178"/>
      <c r="K418" s="1178"/>
    </row>
    <row r="419" spans="2:11">
      <c r="B419" s="1175">
        <v>490535192</v>
      </c>
      <c r="C419" s="1175" t="s">
        <v>1027</v>
      </c>
      <c r="D419" s="1175" t="s">
        <v>2026</v>
      </c>
      <c r="F419" s="1175">
        <v>490000791</v>
      </c>
      <c r="G419" s="1175" t="s">
        <v>1098</v>
      </c>
      <c r="H419" s="1178" t="s">
        <v>1719</v>
      </c>
      <c r="I419" s="1178"/>
      <c r="J419" s="1178"/>
      <c r="K419" s="1178"/>
    </row>
    <row r="420" spans="2:11">
      <c r="B420" s="1175">
        <v>490535192</v>
      </c>
      <c r="C420" s="1175" t="s">
        <v>1027</v>
      </c>
      <c r="D420" s="1175" t="s">
        <v>2026</v>
      </c>
      <c r="F420" s="1175">
        <v>490000791</v>
      </c>
      <c r="G420" s="1175" t="s">
        <v>1098</v>
      </c>
      <c r="H420" s="1178" t="s">
        <v>1719</v>
      </c>
      <c r="I420" s="1178"/>
      <c r="J420" s="1178"/>
      <c r="K420" s="1178"/>
    </row>
    <row r="421" spans="2:11">
      <c r="B421" s="1175">
        <v>490535192</v>
      </c>
      <c r="C421" s="1175" t="s">
        <v>1027</v>
      </c>
      <c r="D421" s="1175" t="s">
        <v>2026</v>
      </c>
      <c r="F421" s="1175">
        <v>490000791</v>
      </c>
      <c r="G421" s="1175" t="s">
        <v>1098</v>
      </c>
      <c r="H421" s="1178" t="s">
        <v>1719</v>
      </c>
      <c r="I421" s="1178"/>
      <c r="J421" s="1178"/>
      <c r="K421" s="1178"/>
    </row>
    <row r="422" spans="2:11">
      <c r="B422" s="1175">
        <v>490535192</v>
      </c>
      <c r="C422" s="1175" t="s">
        <v>1027</v>
      </c>
      <c r="D422" s="1175" t="s">
        <v>2026</v>
      </c>
      <c r="F422" s="1175">
        <v>490007614</v>
      </c>
      <c r="G422" s="1175" t="s">
        <v>1273</v>
      </c>
      <c r="H422" s="1178" t="s">
        <v>1720</v>
      </c>
      <c r="I422" s="1178"/>
      <c r="J422" s="1178"/>
      <c r="K422" s="1178"/>
    </row>
    <row r="423" spans="2:11">
      <c r="B423" s="1175">
        <v>490535192</v>
      </c>
      <c r="C423" s="1175" t="s">
        <v>1027</v>
      </c>
      <c r="D423" s="1175" t="s">
        <v>2026</v>
      </c>
      <c r="F423" s="1175">
        <v>490011475</v>
      </c>
      <c r="G423" s="1175" t="s">
        <v>1273</v>
      </c>
      <c r="H423" s="1178" t="s">
        <v>1721</v>
      </c>
      <c r="I423" s="1178"/>
      <c r="J423" s="1178"/>
      <c r="K423" s="1178"/>
    </row>
    <row r="424" spans="2:11">
      <c r="B424" s="1175">
        <v>490535192</v>
      </c>
      <c r="C424" s="1175" t="s">
        <v>1027</v>
      </c>
      <c r="D424" s="1175" t="s">
        <v>2026</v>
      </c>
      <c r="F424" s="1175">
        <v>490532066</v>
      </c>
      <c r="G424" s="1175" t="s">
        <v>1273</v>
      </c>
      <c r="H424" s="1178" t="s">
        <v>1722</v>
      </c>
      <c r="I424" s="1178"/>
      <c r="J424" s="1178"/>
      <c r="K424" s="1178"/>
    </row>
    <row r="425" spans="2:11">
      <c r="B425" s="1175">
        <v>490535192</v>
      </c>
      <c r="C425" s="1175" t="s">
        <v>1027</v>
      </c>
      <c r="D425" s="1175" t="s">
        <v>2026</v>
      </c>
      <c r="F425" s="1175">
        <v>490540374</v>
      </c>
      <c r="G425" s="1175" t="s">
        <v>1096</v>
      </c>
      <c r="H425" s="1178" t="s">
        <v>1723</v>
      </c>
      <c r="I425" s="1178"/>
      <c r="J425" s="1178"/>
      <c r="K425" s="1178"/>
    </row>
    <row r="426" spans="2:11">
      <c r="B426" s="1175">
        <v>490535192</v>
      </c>
      <c r="C426" s="1175" t="s">
        <v>1027</v>
      </c>
      <c r="D426" s="1175" t="s">
        <v>2026</v>
      </c>
      <c r="F426" s="1175">
        <v>490541091</v>
      </c>
      <c r="G426" s="1175" t="s">
        <v>1274</v>
      </c>
      <c r="H426" s="1178" t="s">
        <v>1724</v>
      </c>
      <c r="I426" s="1178"/>
      <c r="J426" s="1178"/>
      <c r="K426" s="1178"/>
    </row>
    <row r="427" spans="2:11">
      <c r="B427" s="1175">
        <v>490535192</v>
      </c>
      <c r="C427" s="1175" t="s">
        <v>1027</v>
      </c>
      <c r="D427" s="1175" t="s">
        <v>2026</v>
      </c>
      <c r="F427" s="1175">
        <v>490542180</v>
      </c>
      <c r="G427" s="1175" t="s">
        <v>1096</v>
      </c>
      <c r="H427" s="1178" t="s">
        <v>1725</v>
      </c>
      <c r="I427" s="1178"/>
      <c r="J427" s="1178"/>
      <c r="K427" s="1178"/>
    </row>
    <row r="428" spans="2:11">
      <c r="B428" s="1175">
        <v>490535192</v>
      </c>
      <c r="C428" s="1175" t="s">
        <v>1027</v>
      </c>
      <c r="D428" s="1175" t="s">
        <v>2026</v>
      </c>
      <c r="F428" s="1175">
        <v>490542180</v>
      </c>
      <c r="G428" s="1175" t="s">
        <v>1096</v>
      </c>
      <c r="H428" s="1178" t="s">
        <v>1725</v>
      </c>
      <c r="I428" s="1178"/>
      <c r="J428" s="1178"/>
      <c r="K428" s="1178"/>
    </row>
    <row r="429" spans="2:11">
      <c r="B429" s="1175">
        <v>490535168</v>
      </c>
      <c r="C429" s="1175" t="s">
        <v>1255</v>
      </c>
      <c r="D429" s="1175" t="s">
        <v>2022</v>
      </c>
      <c r="F429" s="1175">
        <v>490538493</v>
      </c>
      <c r="G429" s="1175" t="s">
        <v>1275</v>
      </c>
      <c r="H429" s="1178" t="s">
        <v>1726</v>
      </c>
      <c r="I429" s="1178"/>
      <c r="J429" s="1178"/>
      <c r="K429" s="1178"/>
    </row>
    <row r="430" spans="2:11">
      <c r="B430" s="1175">
        <v>490535168</v>
      </c>
      <c r="C430" s="1175" t="s">
        <v>1255</v>
      </c>
      <c r="D430" s="1175" t="s">
        <v>2022</v>
      </c>
      <c r="F430" s="1175">
        <v>490540382</v>
      </c>
      <c r="G430" s="1175" t="s">
        <v>1013</v>
      </c>
      <c r="H430" s="1178" t="s">
        <v>1727</v>
      </c>
      <c r="I430" s="1178"/>
      <c r="J430" s="1178"/>
      <c r="K430" s="1178"/>
    </row>
    <row r="431" spans="2:11">
      <c r="B431" s="1175">
        <v>490535168</v>
      </c>
      <c r="C431" s="1175" t="s">
        <v>1255</v>
      </c>
      <c r="D431" s="1175" t="s">
        <v>2022</v>
      </c>
      <c r="F431" s="1175">
        <v>490542693</v>
      </c>
      <c r="G431" s="1175" t="s">
        <v>1276</v>
      </c>
      <c r="H431" s="1178" t="s">
        <v>1706</v>
      </c>
      <c r="I431" s="1178"/>
      <c r="J431" s="1178"/>
      <c r="K431" s="1178"/>
    </row>
    <row r="432" spans="2:11">
      <c r="B432" s="1175">
        <v>490535168</v>
      </c>
      <c r="C432" s="1175" t="s">
        <v>1255</v>
      </c>
      <c r="D432" s="1175" t="s">
        <v>2022</v>
      </c>
      <c r="F432" s="1175">
        <v>490542693</v>
      </c>
      <c r="G432" s="1175" t="s">
        <v>1276</v>
      </c>
      <c r="H432" s="1178" t="s">
        <v>1706</v>
      </c>
      <c r="I432" s="1178"/>
      <c r="J432" s="1178"/>
      <c r="K432" s="1178"/>
    </row>
    <row r="433" spans="2:11">
      <c r="B433" s="1175">
        <v>490535184</v>
      </c>
      <c r="C433" s="1175" t="s">
        <v>1000</v>
      </c>
      <c r="D433" s="1175" t="s">
        <v>2025</v>
      </c>
      <c r="F433" s="1175">
        <v>490002557</v>
      </c>
      <c r="G433" s="1175" t="s">
        <v>1277</v>
      </c>
      <c r="H433" s="1178" t="s">
        <v>1714</v>
      </c>
      <c r="I433" s="1178"/>
      <c r="J433" s="1178"/>
      <c r="K433" s="1178"/>
    </row>
    <row r="434" spans="2:11">
      <c r="B434" s="1175">
        <v>490535184</v>
      </c>
      <c r="C434" s="1175" t="s">
        <v>1000</v>
      </c>
      <c r="D434" s="1175" t="s">
        <v>2025</v>
      </c>
      <c r="F434" s="1175">
        <v>490002557</v>
      </c>
      <c r="G434" s="1175" t="s">
        <v>1277</v>
      </c>
      <c r="H434" s="1178" t="s">
        <v>1714</v>
      </c>
      <c r="I434" s="1178"/>
      <c r="J434" s="1178"/>
      <c r="K434" s="1178"/>
    </row>
    <row r="435" spans="2:11">
      <c r="B435" s="1175">
        <v>490535184</v>
      </c>
      <c r="C435" s="1175" t="s">
        <v>1000</v>
      </c>
      <c r="D435" s="1175" t="s">
        <v>2025</v>
      </c>
      <c r="F435" s="1175">
        <v>490002565</v>
      </c>
      <c r="G435" s="1175" t="s">
        <v>1278</v>
      </c>
      <c r="H435" s="1178" t="s">
        <v>1728</v>
      </c>
      <c r="I435" s="1178"/>
      <c r="J435" s="1178"/>
      <c r="K435" s="1178"/>
    </row>
    <row r="436" spans="2:11">
      <c r="B436" s="1175">
        <v>490535184</v>
      </c>
      <c r="C436" s="1175" t="s">
        <v>1000</v>
      </c>
      <c r="D436" s="1175" t="s">
        <v>2025</v>
      </c>
      <c r="F436" s="1175">
        <v>490002565</v>
      </c>
      <c r="G436" s="1175" t="s">
        <v>1278</v>
      </c>
      <c r="H436" s="1178" t="s">
        <v>1728</v>
      </c>
      <c r="I436" s="1178"/>
      <c r="J436" s="1178"/>
      <c r="K436" s="1178"/>
    </row>
    <row r="437" spans="2:11">
      <c r="B437" s="1175">
        <v>490535184</v>
      </c>
      <c r="C437" s="1175" t="s">
        <v>1000</v>
      </c>
      <c r="D437" s="1175" t="s">
        <v>2025</v>
      </c>
      <c r="F437" s="1175">
        <v>490015385</v>
      </c>
      <c r="G437" s="1175" t="s">
        <v>1279</v>
      </c>
      <c r="H437" s="1178" t="s">
        <v>1729</v>
      </c>
      <c r="I437" s="1178"/>
      <c r="J437" s="1178"/>
      <c r="K437" s="1178"/>
    </row>
    <row r="438" spans="2:11">
      <c r="B438" s="1175">
        <v>490535184</v>
      </c>
      <c r="C438" s="1175" t="s">
        <v>1000</v>
      </c>
      <c r="D438" s="1175" t="s">
        <v>2025</v>
      </c>
      <c r="F438" s="1175">
        <v>490017001</v>
      </c>
      <c r="G438" s="1175" t="s">
        <v>1280</v>
      </c>
      <c r="H438" s="1178" t="s">
        <v>1730</v>
      </c>
      <c r="I438" s="1178"/>
      <c r="J438" s="1178"/>
      <c r="K438" s="1178"/>
    </row>
    <row r="439" spans="2:11">
      <c r="B439" s="1175">
        <v>490535184</v>
      </c>
      <c r="C439" s="1175" t="s">
        <v>1000</v>
      </c>
      <c r="D439" s="1175" t="s">
        <v>2025</v>
      </c>
      <c r="F439" s="1175">
        <v>490017472</v>
      </c>
      <c r="G439" s="1175" t="s">
        <v>1281</v>
      </c>
      <c r="H439" s="1178" t="s">
        <v>1731</v>
      </c>
      <c r="I439" s="1178"/>
      <c r="J439" s="1178"/>
      <c r="K439" s="1178"/>
    </row>
    <row r="440" spans="2:11">
      <c r="B440" s="1175">
        <v>490535184</v>
      </c>
      <c r="C440" s="1175" t="s">
        <v>1000</v>
      </c>
      <c r="D440" s="1175" t="s">
        <v>2025</v>
      </c>
      <c r="F440" s="1175">
        <v>490017555</v>
      </c>
      <c r="G440" s="1175" t="s">
        <v>1282</v>
      </c>
      <c r="H440" s="1178" t="s">
        <v>1728</v>
      </c>
      <c r="I440" s="1178"/>
      <c r="J440" s="1178"/>
      <c r="K440" s="1178"/>
    </row>
    <row r="441" spans="2:11">
      <c r="B441" s="1175">
        <v>490535184</v>
      </c>
      <c r="C441" s="1175" t="s">
        <v>1000</v>
      </c>
      <c r="D441" s="1175" t="s">
        <v>2025</v>
      </c>
      <c r="F441" s="1175">
        <v>490019742</v>
      </c>
      <c r="G441" s="1175" t="s">
        <v>1283</v>
      </c>
      <c r="H441" s="1178" t="s">
        <v>1705</v>
      </c>
      <c r="I441" s="1178"/>
      <c r="J441" s="1178"/>
      <c r="K441" s="1178"/>
    </row>
    <row r="442" spans="2:11">
      <c r="B442" s="1175">
        <v>490535184</v>
      </c>
      <c r="C442" s="1175" t="s">
        <v>1000</v>
      </c>
      <c r="D442" s="1175" t="s">
        <v>2025</v>
      </c>
      <c r="F442" s="1175">
        <v>490537297</v>
      </c>
      <c r="G442" s="1175" t="s">
        <v>1271</v>
      </c>
      <c r="H442" s="1178" t="s">
        <v>1713</v>
      </c>
      <c r="I442" s="1178"/>
      <c r="J442" s="1178"/>
      <c r="K442" s="1178"/>
    </row>
    <row r="443" spans="2:11">
      <c r="B443" s="1175">
        <v>490535184</v>
      </c>
      <c r="C443" s="1175" t="s">
        <v>1000</v>
      </c>
      <c r="D443" s="1175" t="s">
        <v>2025</v>
      </c>
      <c r="F443" s="1175">
        <v>490537370</v>
      </c>
      <c r="G443" s="1175" t="s">
        <v>1284</v>
      </c>
      <c r="H443" s="1178" t="s">
        <v>1730</v>
      </c>
      <c r="I443" s="1178"/>
      <c r="J443" s="1178"/>
      <c r="K443" s="1178"/>
    </row>
    <row r="444" spans="2:11">
      <c r="B444" s="1175">
        <v>490535184</v>
      </c>
      <c r="C444" s="1175" t="s">
        <v>1000</v>
      </c>
      <c r="D444" s="1175" t="s">
        <v>2025</v>
      </c>
      <c r="F444" s="1175">
        <v>490538691</v>
      </c>
      <c r="G444" s="1175" t="s">
        <v>1285</v>
      </c>
      <c r="H444" s="1178" t="s">
        <v>1732</v>
      </c>
      <c r="I444" s="1178"/>
      <c r="J444" s="1178"/>
      <c r="K444" s="1178"/>
    </row>
    <row r="445" spans="2:11">
      <c r="B445" s="1175">
        <v>490535184</v>
      </c>
      <c r="C445" s="1175" t="s">
        <v>1000</v>
      </c>
      <c r="D445" s="1175" t="s">
        <v>2025</v>
      </c>
      <c r="F445" s="1175">
        <v>490542974</v>
      </c>
      <c r="G445" s="1175" t="s">
        <v>1272</v>
      </c>
      <c r="H445" s="1178" t="s">
        <v>1714</v>
      </c>
      <c r="I445" s="1178"/>
      <c r="J445" s="1178"/>
      <c r="K445" s="1178"/>
    </row>
    <row r="446" spans="2:11">
      <c r="B446" s="1175">
        <v>490535192</v>
      </c>
      <c r="C446" s="1175" t="s">
        <v>1027</v>
      </c>
      <c r="D446" s="1175" t="s">
        <v>2026</v>
      </c>
      <c r="F446" s="1175">
        <v>490000510</v>
      </c>
      <c r="G446" s="1175" t="s">
        <v>1017</v>
      </c>
      <c r="H446" s="1178" t="s">
        <v>1716</v>
      </c>
      <c r="I446" s="1178"/>
      <c r="J446" s="1178"/>
      <c r="K446" s="1178"/>
    </row>
    <row r="447" spans="2:11">
      <c r="B447" s="1175">
        <v>490535192</v>
      </c>
      <c r="C447" s="1175" t="s">
        <v>1027</v>
      </c>
      <c r="D447" s="1175" t="s">
        <v>2026</v>
      </c>
      <c r="F447" s="1175">
        <v>490000510</v>
      </c>
      <c r="G447" s="1175" t="s">
        <v>1017</v>
      </c>
      <c r="H447" s="1178" t="s">
        <v>1716</v>
      </c>
      <c r="I447" s="1178"/>
      <c r="J447" s="1178"/>
      <c r="K447" s="1178"/>
    </row>
    <row r="448" spans="2:11">
      <c r="B448" s="1175">
        <v>490535192</v>
      </c>
      <c r="C448" s="1175" t="s">
        <v>1027</v>
      </c>
      <c r="D448" s="1175" t="s">
        <v>2026</v>
      </c>
      <c r="F448" s="1175">
        <v>490000528</v>
      </c>
      <c r="G448" s="1175" t="s">
        <v>1016</v>
      </c>
      <c r="H448" s="1178" t="s">
        <v>1717</v>
      </c>
      <c r="I448" s="1178"/>
      <c r="J448" s="1178"/>
      <c r="K448" s="1178"/>
    </row>
    <row r="449" spans="2:11">
      <c r="B449" s="1175">
        <v>490535192</v>
      </c>
      <c r="C449" s="1175" t="s">
        <v>1027</v>
      </c>
      <c r="D449" s="1175" t="s">
        <v>2026</v>
      </c>
      <c r="F449" s="1175">
        <v>490000528</v>
      </c>
      <c r="G449" s="1175" t="s">
        <v>1016</v>
      </c>
      <c r="H449" s="1178" t="s">
        <v>1717</v>
      </c>
      <c r="I449" s="1178"/>
      <c r="J449" s="1178"/>
      <c r="K449" s="1178"/>
    </row>
    <row r="450" spans="2:11">
      <c r="B450" s="1175">
        <v>490535192</v>
      </c>
      <c r="C450" s="1175" t="s">
        <v>1027</v>
      </c>
      <c r="D450" s="1175" t="s">
        <v>2026</v>
      </c>
      <c r="F450" s="1175">
        <v>490000528</v>
      </c>
      <c r="G450" s="1175" t="s">
        <v>1016</v>
      </c>
      <c r="H450" s="1178" t="s">
        <v>1717</v>
      </c>
      <c r="I450" s="1178"/>
      <c r="J450" s="1178"/>
      <c r="K450" s="1178"/>
    </row>
    <row r="451" spans="2:11">
      <c r="B451" s="1175">
        <v>490535192</v>
      </c>
      <c r="C451" s="1175" t="s">
        <v>1027</v>
      </c>
      <c r="D451" s="1175" t="s">
        <v>2026</v>
      </c>
      <c r="F451" s="1175">
        <v>490000775</v>
      </c>
      <c r="G451" s="1175" t="s">
        <v>1015</v>
      </c>
      <c r="H451" s="1178" t="s">
        <v>1733</v>
      </c>
      <c r="I451" s="1178"/>
      <c r="J451" s="1178"/>
      <c r="K451" s="1178"/>
    </row>
    <row r="452" spans="2:11">
      <c r="B452" s="1175">
        <v>490535192</v>
      </c>
      <c r="C452" s="1175" t="s">
        <v>1027</v>
      </c>
      <c r="D452" s="1175" t="s">
        <v>2026</v>
      </c>
      <c r="F452" s="1175">
        <v>490000775</v>
      </c>
      <c r="G452" s="1175" t="s">
        <v>1015</v>
      </c>
      <c r="H452" s="1178" t="s">
        <v>1733</v>
      </c>
      <c r="I452" s="1178"/>
      <c r="J452" s="1178"/>
      <c r="K452" s="1178"/>
    </row>
    <row r="453" spans="2:11">
      <c r="B453" s="1175">
        <v>490535192</v>
      </c>
      <c r="C453" s="1175" t="s">
        <v>1027</v>
      </c>
      <c r="D453" s="1175" t="s">
        <v>2026</v>
      </c>
      <c r="F453" s="1175">
        <v>490000775</v>
      </c>
      <c r="G453" s="1175" t="s">
        <v>1015</v>
      </c>
      <c r="H453" s="1178" t="s">
        <v>1733</v>
      </c>
      <c r="I453" s="1178"/>
      <c r="J453" s="1178"/>
      <c r="K453" s="1178"/>
    </row>
    <row r="454" spans="2:11">
      <c r="B454" s="1175">
        <v>490535192</v>
      </c>
      <c r="C454" s="1175" t="s">
        <v>1027</v>
      </c>
      <c r="D454" s="1175" t="s">
        <v>2026</v>
      </c>
      <c r="F454" s="1175">
        <v>490000791</v>
      </c>
      <c r="G454" s="1175" t="s">
        <v>1098</v>
      </c>
      <c r="H454" s="1178" t="s">
        <v>1719</v>
      </c>
      <c r="I454" s="1178"/>
      <c r="J454" s="1178"/>
      <c r="K454" s="1178"/>
    </row>
    <row r="455" spans="2:11">
      <c r="B455" s="1175">
        <v>490535192</v>
      </c>
      <c r="C455" s="1175" t="s">
        <v>1027</v>
      </c>
      <c r="D455" s="1175" t="s">
        <v>2026</v>
      </c>
      <c r="F455" s="1175">
        <v>490000791</v>
      </c>
      <c r="G455" s="1175" t="s">
        <v>1098</v>
      </c>
      <c r="H455" s="1178" t="s">
        <v>1719</v>
      </c>
      <c r="I455" s="1178"/>
      <c r="J455" s="1178"/>
      <c r="K455" s="1178"/>
    </row>
    <row r="456" spans="2:11">
      <c r="B456" s="1175">
        <v>490535192</v>
      </c>
      <c r="C456" s="1175" t="s">
        <v>1027</v>
      </c>
      <c r="D456" s="1175" t="s">
        <v>2026</v>
      </c>
      <c r="F456" s="1175">
        <v>490016177</v>
      </c>
      <c r="G456" s="1175" t="s">
        <v>1096</v>
      </c>
      <c r="H456" s="1178" t="s">
        <v>1717</v>
      </c>
      <c r="I456" s="1178"/>
      <c r="J456" s="1178"/>
      <c r="K456" s="1178"/>
    </row>
    <row r="457" spans="2:11">
      <c r="B457" s="1175">
        <v>490535192</v>
      </c>
      <c r="C457" s="1175" t="s">
        <v>1027</v>
      </c>
      <c r="D457" s="1175" t="s">
        <v>2026</v>
      </c>
      <c r="F457" s="1175">
        <v>490016185</v>
      </c>
      <c r="G457" s="1175" t="s">
        <v>1020</v>
      </c>
      <c r="H457" s="1178" t="s">
        <v>1734</v>
      </c>
      <c r="I457" s="1178"/>
      <c r="J457" s="1178"/>
      <c r="K457" s="1178"/>
    </row>
    <row r="458" spans="2:11">
      <c r="B458" s="1175">
        <v>490535192</v>
      </c>
      <c r="C458" s="1175" t="s">
        <v>1027</v>
      </c>
      <c r="D458" s="1175" t="s">
        <v>2026</v>
      </c>
      <c r="F458" s="1175">
        <v>490016193</v>
      </c>
      <c r="G458" s="1175" t="s">
        <v>1100</v>
      </c>
      <c r="H458" s="1178" t="s">
        <v>1735</v>
      </c>
      <c r="I458" s="1178"/>
      <c r="J458" s="1178"/>
      <c r="K458" s="1178"/>
    </row>
    <row r="459" spans="2:11">
      <c r="B459" s="1175">
        <v>490535192</v>
      </c>
      <c r="C459" s="1175" t="s">
        <v>1027</v>
      </c>
      <c r="D459" s="1175" t="s">
        <v>2026</v>
      </c>
      <c r="F459" s="1175">
        <v>490017753</v>
      </c>
      <c r="G459" s="1175" t="s">
        <v>1097</v>
      </c>
      <c r="H459" s="1178" t="s">
        <v>1736</v>
      </c>
      <c r="I459" s="1178"/>
      <c r="J459" s="1178"/>
      <c r="K459" s="1178"/>
    </row>
    <row r="460" spans="2:11">
      <c r="B460" s="1175">
        <v>490535192</v>
      </c>
      <c r="C460" s="1175" t="s">
        <v>1027</v>
      </c>
      <c r="D460" s="1175" t="s">
        <v>2026</v>
      </c>
      <c r="F460" s="1175">
        <v>490019783</v>
      </c>
      <c r="G460" s="1175" t="s">
        <v>1099</v>
      </c>
      <c r="H460" s="1178" t="s">
        <v>1737</v>
      </c>
      <c r="I460" s="1178"/>
      <c r="J460" s="1178"/>
      <c r="K460" s="1178"/>
    </row>
    <row r="461" spans="2:11">
      <c r="B461" s="1175">
        <v>490535192</v>
      </c>
      <c r="C461" s="1175" t="s">
        <v>1027</v>
      </c>
      <c r="D461" s="1175" t="s">
        <v>2026</v>
      </c>
      <c r="F461" s="1175">
        <v>490542768</v>
      </c>
      <c r="G461" s="1175" t="s">
        <v>1273</v>
      </c>
      <c r="H461" s="1178" t="s">
        <v>1738</v>
      </c>
      <c r="I461" s="1178"/>
      <c r="J461" s="1178"/>
      <c r="K461" s="1178"/>
    </row>
    <row r="462" spans="2:11">
      <c r="B462" s="1175">
        <v>490535192</v>
      </c>
      <c r="C462" s="1175" t="s">
        <v>1027</v>
      </c>
      <c r="D462" s="1175" t="s">
        <v>2026</v>
      </c>
      <c r="F462" s="1175">
        <v>490543154</v>
      </c>
      <c r="G462" s="1175" t="s">
        <v>1018</v>
      </c>
      <c r="H462" s="1178" t="s">
        <v>1739</v>
      </c>
      <c r="I462" s="1178"/>
      <c r="J462" s="1178"/>
      <c r="K462" s="1178"/>
    </row>
    <row r="463" spans="2:11">
      <c r="B463" s="1175">
        <v>490535200</v>
      </c>
      <c r="C463" s="1175" t="s">
        <v>1031</v>
      </c>
      <c r="D463" s="1175" t="s">
        <v>2027</v>
      </c>
      <c r="F463" s="1175">
        <v>490000015</v>
      </c>
      <c r="G463" s="1175" t="s">
        <v>1286</v>
      </c>
      <c r="H463" s="1178" t="s">
        <v>1740</v>
      </c>
      <c r="I463" s="1178"/>
      <c r="J463" s="1178"/>
      <c r="K463" s="1178"/>
    </row>
    <row r="464" spans="2:11">
      <c r="B464" s="1175">
        <v>490535200</v>
      </c>
      <c r="C464" s="1175" t="s">
        <v>1031</v>
      </c>
      <c r="D464" s="1175" t="s">
        <v>2027</v>
      </c>
      <c r="F464" s="1175">
        <v>490000015</v>
      </c>
      <c r="G464" s="1175" t="s">
        <v>1286</v>
      </c>
      <c r="H464" s="1178" t="s">
        <v>1740</v>
      </c>
      <c r="I464" s="1178"/>
      <c r="J464" s="1178"/>
      <c r="K464" s="1178"/>
    </row>
    <row r="465" spans="2:11">
      <c r="B465" s="1175">
        <v>490535200</v>
      </c>
      <c r="C465" s="1175" t="s">
        <v>1031</v>
      </c>
      <c r="D465" s="1175" t="s">
        <v>2027</v>
      </c>
      <c r="F465" s="1175">
        <v>490000015</v>
      </c>
      <c r="G465" s="1175" t="s">
        <v>1286</v>
      </c>
      <c r="H465" s="1178" t="s">
        <v>1740</v>
      </c>
      <c r="I465" s="1178"/>
      <c r="J465" s="1178"/>
      <c r="K465" s="1178"/>
    </row>
    <row r="466" spans="2:11">
      <c r="B466" s="1175">
        <v>490535200</v>
      </c>
      <c r="C466" s="1175" t="s">
        <v>1031</v>
      </c>
      <c r="D466" s="1175" t="s">
        <v>2027</v>
      </c>
      <c r="F466" s="1175">
        <v>490000015</v>
      </c>
      <c r="G466" s="1175" t="s">
        <v>1286</v>
      </c>
      <c r="H466" s="1178" t="s">
        <v>1740</v>
      </c>
      <c r="I466" s="1178"/>
      <c r="J466" s="1178"/>
      <c r="K466" s="1178"/>
    </row>
    <row r="467" spans="2:11">
      <c r="B467" s="1175">
        <v>490535200</v>
      </c>
      <c r="C467" s="1175" t="s">
        <v>1031</v>
      </c>
      <c r="D467" s="1175" t="s">
        <v>2027</v>
      </c>
      <c r="F467" s="1175">
        <v>490000015</v>
      </c>
      <c r="G467" s="1175" t="s">
        <v>1286</v>
      </c>
      <c r="H467" s="1178" t="s">
        <v>1740</v>
      </c>
      <c r="I467" s="1178"/>
      <c r="J467" s="1178"/>
      <c r="K467" s="1178"/>
    </row>
    <row r="468" spans="2:11">
      <c r="B468" s="1175">
        <v>490535200</v>
      </c>
      <c r="C468" s="1175" t="s">
        <v>1031</v>
      </c>
      <c r="D468" s="1175" t="s">
        <v>2027</v>
      </c>
      <c r="F468" s="1175">
        <v>490002490</v>
      </c>
      <c r="G468" s="1175" t="s">
        <v>1287</v>
      </c>
      <c r="H468" s="1178" t="s">
        <v>1741</v>
      </c>
      <c r="I468" s="1178"/>
      <c r="J468" s="1178"/>
      <c r="K468" s="1178"/>
    </row>
    <row r="469" spans="2:11">
      <c r="B469" s="1175">
        <v>490535200</v>
      </c>
      <c r="C469" s="1175" t="s">
        <v>1031</v>
      </c>
      <c r="D469" s="1175" t="s">
        <v>2027</v>
      </c>
      <c r="F469" s="1175">
        <v>490002490</v>
      </c>
      <c r="G469" s="1175" t="s">
        <v>1287</v>
      </c>
      <c r="H469" s="1178" t="s">
        <v>1741</v>
      </c>
      <c r="I469" s="1178"/>
      <c r="J469" s="1178"/>
      <c r="K469" s="1178"/>
    </row>
    <row r="470" spans="2:11">
      <c r="B470" s="1175">
        <v>490535200</v>
      </c>
      <c r="C470" s="1175" t="s">
        <v>1031</v>
      </c>
      <c r="D470" s="1175" t="s">
        <v>2027</v>
      </c>
      <c r="F470" s="1175">
        <v>490002490</v>
      </c>
      <c r="G470" s="1175" t="s">
        <v>1287</v>
      </c>
      <c r="H470" s="1178" t="s">
        <v>1741</v>
      </c>
      <c r="I470" s="1178"/>
      <c r="J470" s="1178"/>
      <c r="K470" s="1178"/>
    </row>
    <row r="471" spans="2:11">
      <c r="B471" s="1175">
        <v>490535200</v>
      </c>
      <c r="C471" s="1175" t="s">
        <v>1031</v>
      </c>
      <c r="D471" s="1175" t="s">
        <v>2027</v>
      </c>
      <c r="F471" s="1175">
        <v>490003241</v>
      </c>
      <c r="G471" s="1175" t="s">
        <v>1288</v>
      </c>
      <c r="H471" s="1178" t="s">
        <v>1742</v>
      </c>
      <c r="I471" s="1178"/>
      <c r="J471" s="1178"/>
      <c r="K471" s="1178"/>
    </row>
    <row r="472" spans="2:11">
      <c r="B472" s="1175">
        <v>490535200</v>
      </c>
      <c r="C472" s="1175" t="s">
        <v>1031</v>
      </c>
      <c r="D472" s="1175" t="s">
        <v>2027</v>
      </c>
      <c r="F472" s="1175">
        <v>490003241</v>
      </c>
      <c r="G472" s="1175" t="s">
        <v>1288</v>
      </c>
      <c r="H472" s="1178" t="s">
        <v>1742</v>
      </c>
      <c r="I472" s="1178"/>
      <c r="J472" s="1178"/>
      <c r="K472" s="1178"/>
    </row>
    <row r="473" spans="2:11">
      <c r="B473" s="1175">
        <v>490535200</v>
      </c>
      <c r="C473" s="1175" t="s">
        <v>1031</v>
      </c>
      <c r="D473" s="1175" t="s">
        <v>2027</v>
      </c>
      <c r="F473" s="1175">
        <v>490016243</v>
      </c>
      <c r="G473" s="1175" t="s">
        <v>1289</v>
      </c>
      <c r="H473" s="1178" t="s">
        <v>1743</v>
      </c>
      <c r="I473" s="1178"/>
      <c r="J473" s="1178"/>
      <c r="K473" s="1178"/>
    </row>
    <row r="474" spans="2:11">
      <c r="B474" s="1175">
        <v>490535200</v>
      </c>
      <c r="C474" s="1175" t="s">
        <v>1031</v>
      </c>
      <c r="D474" s="1175" t="s">
        <v>2027</v>
      </c>
      <c r="F474" s="1175">
        <v>490016243</v>
      </c>
      <c r="G474" s="1175" t="s">
        <v>1289</v>
      </c>
      <c r="H474" s="1178" t="s">
        <v>1743</v>
      </c>
      <c r="I474" s="1178"/>
      <c r="J474" s="1178"/>
      <c r="K474" s="1178"/>
    </row>
    <row r="475" spans="2:11">
      <c r="B475" s="1175">
        <v>490535200</v>
      </c>
      <c r="C475" s="1175" t="s">
        <v>1031</v>
      </c>
      <c r="D475" s="1175" t="s">
        <v>2027</v>
      </c>
      <c r="F475" s="1175">
        <v>490016243</v>
      </c>
      <c r="G475" s="1175" t="s">
        <v>1289</v>
      </c>
      <c r="H475" s="1178" t="s">
        <v>1743</v>
      </c>
      <c r="I475" s="1178"/>
      <c r="J475" s="1178"/>
      <c r="K475" s="1178"/>
    </row>
    <row r="476" spans="2:11">
      <c r="B476" s="1175">
        <v>490535200</v>
      </c>
      <c r="C476" s="1175" t="s">
        <v>1031</v>
      </c>
      <c r="D476" s="1175" t="s">
        <v>2027</v>
      </c>
      <c r="F476" s="1175">
        <v>490539046</v>
      </c>
      <c r="G476" s="1175" t="s">
        <v>1290</v>
      </c>
      <c r="H476" s="1178" t="s">
        <v>1744</v>
      </c>
      <c r="I476" s="1178"/>
      <c r="J476" s="1178"/>
      <c r="K476" s="1178"/>
    </row>
    <row r="477" spans="2:11">
      <c r="B477" s="1175">
        <v>490535200</v>
      </c>
      <c r="C477" s="1175" t="s">
        <v>1031</v>
      </c>
      <c r="D477" s="1175" t="s">
        <v>2027</v>
      </c>
      <c r="F477" s="1175">
        <v>490542982</v>
      </c>
      <c r="G477" s="1175" t="s">
        <v>1291</v>
      </c>
      <c r="H477" s="1178" t="s">
        <v>1745</v>
      </c>
      <c r="I477" s="1178"/>
      <c r="J477" s="1178"/>
      <c r="K477" s="1178"/>
    </row>
    <row r="478" spans="2:11">
      <c r="B478" s="1175">
        <v>490535754</v>
      </c>
      <c r="C478" s="1175" t="s">
        <v>1292</v>
      </c>
      <c r="D478" s="1175" t="s">
        <v>2028</v>
      </c>
      <c r="F478" s="1175">
        <v>490531746</v>
      </c>
      <c r="G478" s="1175" t="s">
        <v>1293</v>
      </c>
      <c r="H478" s="1178" t="s">
        <v>1746</v>
      </c>
      <c r="I478" s="1178"/>
      <c r="J478" s="1178"/>
      <c r="K478" s="1178"/>
    </row>
    <row r="479" spans="2:11">
      <c r="B479" s="1175">
        <v>490536554</v>
      </c>
      <c r="C479" s="1175" t="s">
        <v>1068</v>
      </c>
      <c r="D479" s="1175" t="s">
        <v>2029</v>
      </c>
      <c r="F479" s="1175">
        <v>490014099</v>
      </c>
      <c r="G479" s="1175" t="s">
        <v>1294</v>
      </c>
      <c r="H479" s="1178" t="s">
        <v>1747</v>
      </c>
      <c r="I479" s="1178"/>
      <c r="J479" s="1178"/>
      <c r="K479" s="1178"/>
    </row>
    <row r="480" spans="2:11">
      <c r="B480" s="1175">
        <v>490536828</v>
      </c>
      <c r="C480" s="1175" t="s">
        <v>985</v>
      </c>
      <c r="D480" s="1175" t="s">
        <v>2030</v>
      </c>
      <c r="F480" s="1175">
        <v>490000544</v>
      </c>
      <c r="G480" s="1175" t="s">
        <v>1295</v>
      </c>
      <c r="H480" s="1178" t="s">
        <v>1748</v>
      </c>
      <c r="I480" s="1178"/>
      <c r="J480" s="1178"/>
      <c r="K480" s="1178"/>
    </row>
    <row r="481" spans="2:11">
      <c r="B481" s="1175">
        <v>490536828</v>
      </c>
      <c r="C481" s="1175" t="s">
        <v>985</v>
      </c>
      <c r="D481" s="1175" t="s">
        <v>2030</v>
      </c>
      <c r="F481" s="1175">
        <v>490000577</v>
      </c>
      <c r="G481" s="1175" t="s">
        <v>1296</v>
      </c>
      <c r="H481" s="1178" t="s">
        <v>1749</v>
      </c>
      <c r="I481" s="1178"/>
      <c r="J481" s="1178"/>
      <c r="K481" s="1178"/>
    </row>
    <row r="482" spans="2:11">
      <c r="B482" s="1175">
        <v>490536828</v>
      </c>
      <c r="C482" s="1175" t="s">
        <v>985</v>
      </c>
      <c r="D482" s="1175" t="s">
        <v>2030</v>
      </c>
      <c r="F482" s="1175">
        <v>490007630</v>
      </c>
      <c r="G482" s="1175" t="s">
        <v>1297</v>
      </c>
      <c r="H482" s="1178" t="s">
        <v>1749</v>
      </c>
      <c r="I482" s="1178"/>
      <c r="J482" s="1178"/>
      <c r="K482" s="1178"/>
    </row>
    <row r="483" spans="2:11">
      <c r="B483" s="1175">
        <v>490536828</v>
      </c>
      <c r="C483" s="1175" t="s">
        <v>985</v>
      </c>
      <c r="D483" s="1175" t="s">
        <v>2030</v>
      </c>
      <c r="F483" s="1175">
        <v>490007630</v>
      </c>
      <c r="G483" s="1175" t="s">
        <v>1297</v>
      </c>
      <c r="H483" s="1178" t="s">
        <v>1749</v>
      </c>
      <c r="I483" s="1178"/>
      <c r="J483" s="1178"/>
      <c r="K483" s="1178"/>
    </row>
    <row r="484" spans="2:11">
      <c r="B484" s="1175">
        <v>490536828</v>
      </c>
      <c r="C484" s="1175" t="s">
        <v>985</v>
      </c>
      <c r="D484" s="1175" t="s">
        <v>2030</v>
      </c>
      <c r="F484" s="1175">
        <v>490016987</v>
      </c>
      <c r="G484" s="1175" t="s">
        <v>1298</v>
      </c>
      <c r="H484" s="1178" t="s">
        <v>1749</v>
      </c>
      <c r="I484" s="1178"/>
      <c r="J484" s="1178"/>
      <c r="K484" s="1178"/>
    </row>
    <row r="485" spans="2:11">
      <c r="B485" s="1175">
        <v>490536828</v>
      </c>
      <c r="C485" s="1175" t="s">
        <v>985</v>
      </c>
      <c r="D485" s="1175" t="s">
        <v>2030</v>
      </c>
      <c r="F485" s="1175">
        <v>490019254</v>
      </c>
      <c r="G485" s="1175" t="s">
        <v>1299</v>
      </c>
      <c r="H485" s="1178" t="s">
        <v>1750</v>
      </c>
      <c r="I485" s="1178"/>
      <c r="J485" s="1178"/>
      <c r="K485" s="1178"/>
    </row>
    <row r="486" spans="2:11">
      <c r="B486" s="1175">
        <v>490536836</v>
      </c>
      <c r="C486" s="1175" t="s">
        <v>1300</v>
      </c>
      <c r="D486" s="1175" t="s">
        <v>2031</v>
      </c>
      <c r="F486" s="1175">
        <v>490000825</v>
      </c>
      <c r="G486" s="1175" t="s">
        <v>1301</v>
      </c>
      <c r="H486" s="1178" t="s">
        <v>1751</v>
      </c>
      <c r="I486" s="1178"/>
      <c r="J486" s="1178"/>
      <c r="K486" s="1178"/>
    </row>
    <row r="487" spans="2:11">
      <c r="B487" s="1175">
        <v>490536836</v>
      </c>
      <c r="C487" s="1175" t="s">
        <v>1300</v>
      </c>
      <c r="D487" s="1175" t="s">
        <v>2031</v>
      </c>
      <c r="F487" s="1175">
        <v>490544251</v>
      </c>
      <c r="G487" s="1175" t="s">
        <v>1302</v>
      </c>
      <c r="H487" s="1178" t="s">
        <v>1752</v>
      </c>
      <c r="I487" s="1178"/>
      <c r="J487" s="1178"/>
      <c r="K487" s="1178"/>
    </row>
    <row r="488" spans="2:11">
      <c r="B488" s="1175">
        <v>490536877</v>
      </c>
      <c r="C488" s="1175" t="s">
        <v>1033</v>
      </c>
      <c r="D488" s="1175" t="s">
        <v>2032</v>
      </c>
      <c r="F488" s="1175">
        <v>490531837</v>
      </c>
      <c r="G488" s="1175" t="s">
        <v>964</v>
      </c>
      <c r="H488" s="1178" t="s">
        <v>1753</v>
      </c>
      <c r="I488" s="1178"/>
      <c r="J488" s="1178"/>
      <c r="K488" s="1178"/>
    </row>
    <row r="489" spans="2:11">
      <c r="B489" s="1175">
        <v>490536885</v>
      </c>
      <c r="C489" s="1175" t="s">
        <v>1024</v>
      </c>
      <c r="D489" s="1175" t="s">
        <v>2033</v>
      </c>
      <c r="F489" s="1175">
        <v>490535135</v>
      </c>
      <c r="G489" s="1175" t="s">
        <v>963</v>
      </c>
      <c r="H489" s="1178" t="s">
        <v>1754</v>
      </c>
      <c r="I489" s="1178"/>
      <c r="J489" s="1178"/>
      <c r="K489" s="1178"/>
    </row>
    <row r="490" spans="2:11">
      <c r="B490" s="1175">
        <v>490538642</v>
      </c>
      <c r="C490" s="1175" t="s">
        <v>1025</v>
      </c>
      <c r="D490" s="1175" t="s">
        <v>2034</v>
      </c>
      <c r="F490" s="1175">
        <v>490531738</v>
      </c>
      <c r="G490" s="1175" t="s">
        <v>1303</v>
      </c>
      <c r="H490" s="1178" t="s">
        <v>1755</v>
      </c>
      <c r="I490" s="1178"/>
      <c r="J490" s="1178"/>
      <c r="K490" s="1178"/>
    </row>
    <row r="491" spans="2:11">
      <c r="B491" s="1175">
        <v>490538642</v>
      </c>
      <c r="C491" s="1175" t="s">
        <v>1025</v>
      </c>
      <c r="D491" s="1175" t="s">
        <v>2034</v>
      </c>
      <c r="F491" s="1175">
        <v>490543022</v>
      </c>
      <c r="G491" s="1175" t="s">
        <v>1304</v>
      </c>
      <c r="H491" s="1178" t="s">
        <v>1756</v>
      </c>
      <c r="I491" s="1178"/>
      <c r="J491" s="1178"/>
      <c r="K491" s="1178"/>
    </row>
    <row r="492" spans="2:11">
      <c r="B492" s="1175">
        <v>490541026</v>
      </c>
      <c r="C492" s="1175" t="s">
        <v>1305</v>
      </c>
      <c r="D492" s="1175" t="s">
        <v>2035</v>
      </c>
      <c r="F492" s="1175">
        <v>490541034</v>
      </c>
      <c r="G492" s="1175" t="s">
        <v>1306</v>
      </c>
      <c r="H492" s="1178" t="s">
        <v>1757</v>
      </c>
      <c r="I492" s="1178"/>
      <c r="J492" s="1178"/>
      <c r="K492" s="1178"/>
    </row>
    <row r="493" spans="2:11">
      <c r="B493" s="1175">
        <v>490543600</v>
      </c>
      <c r="C493" s="1175" t="s">
        <v>1008</v>
      </c>
      <c r="D493" s="1175" t="s">
        <v>2036</v>
      </c>
      <c r="F493" s="1175">
        <v>490543618</v>
      </c>
      <c r="G493" s="1175" t="s">
        <v>1007</v>
      </c>
      <c r="H493" s="1178" t="s">
        <v>1758</v>
      </c>
      <c r="I493" s="1178"/>
      <c r="J493" s="1178"/>
      <c r="K493" s="1178"/>
    </row>
    <row r="494" spans="2:11">
      <c r="B494" s="1175">
        <v>750719239</v>
      </c>
      <c r="C494" s="1175" t="s">
        <v>943</v>
      </c>
      <c r="D494" s="1175" t="s">
        <v>2006</v>
      </c>
      <c r="F494" s="1175">
        <v>490019791</v>
      </c>
      <c r="G494" s="1175" t="s">
        <v>1307</v>
      </c>
      <c r="H494" s="1178" t="s">
        <v>1759</v>
      </c>
      <c r="I494" s="1178"/>
      <c r="J494" s="1178"/>
      <c r="K494" s="1178"/>
    </row>
    <row r="495" spans="2:11">
      <c r="B495" s="1175">
        <v>750721334</v>
      </c>
      <c r="C495" s="1175" t="s">
        <v>1045</v>
      </c>
      <c r="D495" s="1175" t="s">
        <v>2037</v>
      </c>
      <c r="F495" s="1175">
        <v>490000478</v>
      </c>
      <c r="G495" s="1175" t="s">
        <v>1308</v>
      </c>
      <c r="H495" s="1178" t="s">
        <v>1760</v>
      </c>
      <c r="I495" s="1178"/>
      <c r="J495" s="1178"/>
      <c r="K495" s="1178"/>
    </row>
    <row r="496" spans="2:11">
      <c r="B496" s="1175">
        <v>750721334</v>
      </c>
      <c r="C496" s="1175" t="s">
        <v>1045</v>
      </c>
      <c r="D496" s="1175" t="s">
        <v>2037</v>
      </c>
      <c r="F496" s="1175">
        <v>490000478</v>
      </c>
      <c r="G496" s="1175" t="s">
        <v>1308</v>
      </c>
      <c r="H496" s="1178" t="s">
        <v>1760</v>
      </c>
      <c r="I496" s="1178"/>
      <c r="J496" s="1178"/>
      <c r="K496" s="1178"/>
    </row>
    <row r="497" spans="2:11">
      <c r="B497" s="1175">
        <v>750721334</v>
      </c>
      <c r="C497" s="1175" t="s">
        <v>1045</v>
      </c>
      <c r="D497" s="1175" t="s">
        <v>2037</v>
      </c>
      <c r="F497" s="1175">
        <v>490000478</v>
      </c>
      <c r="G497" s="1175" t="s">
        <v>1308</v>
      </c>
      <c r="H497" s="1178" t="s">
        <v>1760</v>
      </c>
      <c r="I497" s="1178"/>
      <c r="J497" s="1178"/>
      <c r="K497" s="1178"/>
    </row>
    <row r="498" spans="2:11">
      <c r="B498" s="1175">
        <v>750721334</v>
      </c>
      <c r="C498" s="1175" t="s">
        <v>1045</v>
      </c>
      <c r="D498" s="1175" t="s">
        <v>2037</v>
      </c>
      <c r="F498" s="1175">
        <v>490000478</v>
      </c>
      <c r="G498" s="1175" t="s">
        <v>1308</v>
      </c>
      <c r="H498" s="1178" t="s">
        <v>1760</v>
      </c>
      <c r="I498" s="1178"/>
      <c r="J498" s="1178"/>
      <c r="K498" s="1178"/>
    </row>
    <row r="499" spans="2:11">
      <c r="B499" s="1175">
        <v>750721334</v>
      </c>
      <c r="C499" s="1175" t="s">
        <v>1045</v>
      </c>
      <c r="D499" s="1175" t="s">
        <v>2037</v>
      </c>
      <c r="F499" s="1175">
        <v>490000478</v>
      </c>
      <c r="G499" s="1175" t="s">
        <v>1308</v>
      </c>
      <c r="H499" s="1178" t="s">
        <v>1760</v>
      </c>
      <c r="I499" s="1178"/>
      <c r="J499" s="1178"/>
      <c r="K499" s="1178"/>
    </row>
    <row r="500" spans="2:11">
      <c r="B500" s="1175">
        <v>920718459</v>
      </c>
      <c r="C500" s="1175" t="s">
        <v>1309</v>
      </c>
      <c r="D500" s="1175" t="s">
        <v>2038</v>
      </c>
      <c r="F500" s="1175">
        <v>490000064</v>
      </c>
      <c r="G500" s="1175" t="s">
        <v>1310</v>
      </c>
      <c r="H500" s="1178" t="s">
        <v>1761</v>
      </c>
      <c r="I500" s="1178"/>
      <c r="J500" s="1178"/>
      <c r="K500" s="1178"/>
    </row>
    <row r="501" spans="2:11">
      <c r="B501" s="1175">
        <v>920718459</v>
      </c>
      <c r="C501" s="1175" t="s">
        <v>1309</v>
      </c>
      <c r="D501" s="1175" t="s">
        <v>2038</v>
      </c>
      <c r="F501" s="1175">
        <v>490000064</v>
      </c>
      <c r="G501" s="1175" t="s">
        <v>1310</v>
      </c>
      <c r="H501" s="1178" t="s">
        <v>1761</v>
      </c>
      <c r="I501" s="1178"/>
      <c r="J501" s="1178"/>
      <c r="K501" s="1178"/>
    </row>
    <row r="502" spans="2:11">
      <c r="B502" s="1175">
        <v>920718459</v>
      </c>
      <c r="C502" s="1175" t="s">
        <v>1309</v>
      </c>
      <c r="D502" s="1175" t="s">
        <v>2038</v>
      </c>
      <c r="F502" s="1175">
        <v>490000064</v>
      </c>
      <c r="G502" s="1175" t="s">
        <v>1310</v>
      </c>
      <c r="H502" s="1178" t="s">
        <v>1761</v>
      </c>
      <c r="I502" s="1178"/>
      <c r="J502" s="1178"/>
      <c r="K502" s="1178"/>
    </row>
    <row r="503" spans="2:11">
      <c r="B503" s="1175">
        <v>920718459</v>
      </c>
      <c r="C503" s="1175" t="s">
        <v>1309</v>
      </c>
      <c r="D503" s="1175" t="s">
        <v>2038</v>
      </c>
      <c r="F503" s="1175">
        <v>490007374</v>
      </c>
      <c r="G503" s="1175" t="s">
        <v>1311</v>
      </c>
      <c r="H503" s="1178" t="s">
        <v>1762</v>
      </c>
      <c r="I503" s="1178"/>
      <c r="J503" s="1178"/>
      <c r="K503" s="1178"/>
    </row>
    <row r="504" spans="2:11">
      <c r="B504" s="1175">
        <v>490535200</v>
      </c>
      <c r="C504" s="1175" t="s">
        <v>1031</v>
      </c>
      <c r="D504" s="1175" t="s">
        <v>2027</v>
      </c>
      <c r="F504" s="1175">
        <v>490002490</v>
      </c>
      <c r="G504" s="1175" t="s">
        <v>1287</v>
      </c>
      <c r="H504" s="1178" t="s">
        <v>1741</v>
      </c>
      <c r="I504" s="1178"/>
      <c r="J504" s="1178"/>
      <c r="K504" s="1178"/>
    </row>
    <row r="505" spans="2:11">
      <c r="B505" s="1175">
        <v>490535200</v>
      </c>
      <c r="C505" s="1175" t="s">
        <v>1031</v>
      </c>
      <c r="D505" s="1175" t="s">
        <v>2027</v>
      </c>
      <c r="F505" s="1175">
        <v>490002490</v>
      </c>
      <c r="G505" s="1175" t="s">
        <v>1287</v>
      </c>
      <c r="H505" s="1178" t="s">
        <v>1741</v>
      </c>
      <c r="I505" s="1178"/>
      <c r="J505" s="1178"/>
      <c r="K505" s="1178"/>
    </row>
    <row r="506" spans="2:11">
      <c r="B506" s="1175">
        <v>490535200</v>
      </c>
      <c r="C506" s="1175" t="s">
        <v>1031</v>
      </c>
      <c r="D506" s="1175" t="s">
        <v>2027</v>
      </c>
      <c r="F506" s="1175">
        <v>490002490</v>
      </c>
      <c r="G506" s="1175" t="s">
        <v>1287</v>
      </c>
      <c r="H506" s="1178" t="s">
        <v>1741</v>
      </c>
      <c r="I506" s="1178"/>
      <c r="J506" s="1178"/>
      <c r="K506" s="1178"/>
    </row>
    <row r="507" spans="2:11">
      <c r="B507" s="1175">
        <v>490535200</v>
      </c>
      <c r="C507" s="1175" t="s">
        <v>1031</v>
      </c>
      <c r="D507" s="1175" t="s">
        <v>2027</v>
      </c>
      <c r="F507" s="1175">
        <v>490002490</v>
      </c>
      <c r="G507" s="1175" t="s">
        <v>1287</v>
      </c>
      <c r="H507" s="1178" t="s">
        <v>1741</v>
      </c>
      <c r="I507" s="1178"/>
      <c r="J507" s="1178"/>
      <c r="K507" s="1178"/>
    </row>
    <row r="508" spans="2:11">
      <c r="B508" s="1175">
        <v>490535200</v>
      </c>
      <c r="C508" s="1175" t="s">
        <v>1031</v>
      </c>
      <c r="D508" s="1175" t="s">
        <v>2027</v>
      </c>
      <c r="F508" s="1175">
        <v>490003241</v>
      </c>
      <c r="G508" s="1175" t="s">
        <v>1288</v>
      </c>
      <c r="H508" s="1178" t="s">
        <v>1742</v>
      </c>
      <c r="I508" s="1178"/>
      <c r="J508" s="1178"/>
      <c r="K508" s="1178"/>
    </row>
    <row r="509" spans="2:11">
      <c r="B509" s="1175">
        <v>490535200</v>
      </c>
      <c r="C509" s="1175" t="s">
        <v>1031</v>
      </c>
      <c r="D509" s="1175" t="s">
        <v>2027</v>
      </c>
      <c r="F509" s="1175">
        <v>490016748</v>
      </c>
      <c r="G509" s="1175" t="s">
        <v>1312</v>
      </c>
      <c r="H509" s="1178" t="s">
        <v>1741</v>
      </c>
      <c r="I509" s="1178"/>
      <c r="J509" s="1178"/>
      <c r="K509" s="1178"/>
    </row>
    <row r="510" spans="2:11">
      <c r="B510" s="1175">
        <v>490535200</v>
      </c>
      <c r="C510" s="1175" t="s">
        <v>1031</v>
      </c>
      <c r="D510" s="1175" t="s">
        <v>2027</v>
      </c>
      <c r="F510" s="1175">
        <v>490016748</v>
      </c>
      <c r="G510" s="1175" t="s">
        <v>1312</v>
      </c>
      <c r="H510" s="1178" t="s">
        <v>1741</v>
      </c>
      <c r="I510" s="1178"/>
      <c r="J510" s="1178"/>
      <c r="K510" s="1178"/>
    </row>
    <row r="511" spans="2:11">
      <c r="B511" s="1175">
        <v>490535200</v>
      </c>
      <c r="C511" s="1175" t="s">
        <v>1031</v>
      </c>
      <c r="D511" s="1175" t="s">
        <v>2027</v>
      </c>
      <c r="F511" s="1175">
        <v>490016748</v>
      </c>
      <c r="G511" s="1175" t="s">
        <v>1312</v>
      </c>
      <c r="H511" s="1178" t="s">
        <v>1741</v>
      </c>
      <c r="I511" s="1178"/>
      <c r="J511" s="1178"/>
      <c r="K511" s="1178"/>
    </row>
    <row r="512" spans="2:11">
      <c r="B512" s="1175">
        <v>490535200</v>
      </c>
      <c r="C512" s="1175" t="s">
        <v>1031</v>
      </c>
      <c r="D512" s="1175" t="s">
        <v>2027</v>
      </c>
      <c r="F512" s="1175">
        <v>490539046</v>
      </c>
      <c r="G512" s="1175" t="s">
        <v>1290</v>
      </c>
      <c r="H512" s="1178" t="s">
        <v>1744</v>
      </c>
      <c r="I512" s="1178"/>
      <c r="J512" s="1178"/>
      <c r="K512" s="1178"/>
    </row>
    <row r="513" spans="2:11">
      <c r="B513" s="1175">
        <v>490535200</v>
      </c>
      <c r="C513" s="1175" t="s">
        <v>1031</v>
      </c>
      <c r="D513" s="1175" t="s">
        <v>2027</v>
      </c>
      <c r="F513" s="1175">
        <v>490539046</v>
      </c>
      <c r="G513" s="1175" t="s">
        <v>1290</v>
      </c>
      <c r="H513" s="1178" t="s">
        <v>1744</v>
      </c>
      <c r="I513" s="1178"/>
      <c r="J513" s="1178"/>
      <c r="K513" s="1178"/>
    </row>
    <row r="514" spans="2:11">
      <c r="B514" s="1175">
        <v>490536828</v>
      </c>
      <c r="C514" s="1175" t="s">
        <v>985</v>
      </c>
      <c r="D514" s="1175" t="s">
        <v>2030</v>
      </c>
      <c r="F514" s="1175">
        <v>490000544</v>
      </c>
      <c r="G514" s="1175" t="s">
        <v>1295</v>
      </c>
      <c r="H514" s="1178" t="s">
        <v>1748</v>
      </c>
      <c r="I514" s="1178"/>
      <c r="J514" s="1178"/>
      <c r="K514" s="1178"/>
    </row>
    <row r="515" spans="2:11">
      <c r="B515" s="1175">
        <v>490536828</v>
      </c>
      <c r="C515" s="1175" t="s">
        <v>985</v>
      </c>
      <c r="D515" s="1175" t="s">
        <v>2030</v>
      </c>
      <c r="F515" s="1175">
        <v>490000577</v>
      </c>
      <c r="G515" s="1175" t="s">
        <v>1296</v>
      </c>
      <c r="H515" s="1178" t="s">
        <v>1749</v>
      </c>
      <c r="I515" s="1178"/>
      <c r="J515" s="1178"/>
      <c r="K515" s="1178"/>
    </row>
    <row r="516" spans="2:11">
      <c r="B516" s="1175">
        <v>490536828</v>
      </c>
      <c r="C516" s="1175" t="s">
        <v>985</v>
      </c>
      <c r="D516" s="1175" t="s">
        <v>2030</v>
      </c>
      <c r="F516" s="1175">
        <v>490000577</v>
      </c>
      <c r="G516" s="1175" t="s">
        <v>1296</v>
      </c>
      <c r="H516" s="1178" t="s">
        <v>1749</v>
      </c>
      <c r="I516" s="1178"/>
      <c r="J516" s="1178"/>
      <c r="K516" s="1178"/>
    </row>
    <row r="517" spans="2:11">
      <c r="B517" s="1175">
        <v>490536828</v>
      </c>
      <c r="C517" s="1175" t="s">
        <v>985</v>
      </c>
      <c r="D517" s="1175" t="s">
        <v>2030</v>
      </c>
      <c r="F517" s="1175">
        <v>490000577</v>
      </c>
      <c r="G517" s="1175" t="s">
        <v>1296</v>
      </c>
      <c r="H517" s="1178" t="s">
        <v>1749</v>
      </c>
      <c r="I517" s="1178"/>
      <c r="J517" s="1178"/>
      <c r="K517" s="1178"/>
    </row>
    <row r="518" spans="2:11">
      <c r="B518" s="1175">
        <v>490536828</v>
      </c>
      <c r="C518" s="1175" t="s">
        <v>985</v>
      </c>
      <c r="D518" s="1175" t="s">
        <v>2030</v>
      </c>
      <c r="F518" s="1175">
        <v>490017514</v>
      </c>
      <c r="G518" s="1175" t="s">
        <v>1313</v>
      </c>
      <c r="H518" s="1178" t="s">
        <v>1763</v>
      </c>
      <c r="I518" s="1178"/>
      <c r="J518" s="1178"/>
      <c r="K518" s="1178"/>
    </row>
    <row r="519" spans="2:11">
      <c r="B519" s="1175">
        <v>490536828</v>
      </c>
      <c r="C519" s="1175" t="s">
        <v>985</v>
      </c>
      <c r="D519" s="1175" t="s">
        <v>2030</v>
      </c>
      <c r="F519" s="1175">
        <v>490019247</v>
      </c>
      <c r="G519" s="1175" t="s">
        <v>1314</v>
      </c>
      <c r="H519" s="1178" t="s">
        <v>1764</v>
      </c>
      <c r="I519" s="1178"/>
      <c r="J519" s="1178"/>
      <c r="K519" s="1178"/>
    </row>
    <row r="520" spans="2:11">
      <c r="B520" s="1175">
        <v>490536828</v>
      </c>
      <c r="C520" s="1175" t="s">
        <v>985</v>
      </c>
      <c r="D520" s="1175" t="s">
        <v>2030</v>
      </c>
      <c r="F520" s="1175">
        <v>490019247</v>
      </c>
      <c r="G520" s="1175" t="s">
        <v>1314</v>
      </c>
      <c r="H520" s="1178" t="s">
        <v>1764</v>
      </c>
      <c r="I520" s="1178"/>
      <c r="J520" s="1178"/>
      <c r="K520" s="1178"/>
    </row>
    <row r="521" spans="2:11">
      <c r="B521" s="1175">
        <v>490536828</v>
      </c>
      <c r="C521" s="1175" t="s">
        <v>985</v>
      </c>
      <c r="D521" s="1175" t="s">
        <v>2030</v>
      </c>
      <c r="F521" s="1175">
        <v>490019254</v>
      </c>
      <c r="G521" s="1175" t="s">
        <v>1299</v>
      </c>
      <c r="H521" s="1178" t="s">
        <v>1750</v>
      </c>
      <c r="I521" s="1178"/>
      <c r="J521" s="1178"/>
      <c r="K521" s="1178"/>
    </row>
    <row r="522" spans="2:11">
      <c r="B522" s="1175">
        <v>490538642</v>
      </c>
      <c r="C522" s="1175" t="s">
        <v>1025</v>
      </c>
      <c r="D522" s="1175" t="s">
        <v>2034</v>
      </c>
      <c r="F522" s="1175">
        <v>490002664</v>
      </c>
      <c r="G522" s="1175" t="s">
        <v>1315</v>
      </c>
      <c r="H522" s="1178" t="s">
        <v>1765</v>
      </c>
      <c r="I522" s="1178"/>
      <c r="J522" s="1178"/>
      <c r="K522" s="1178"/>
    </row>
    <row r="523" spans="2:11">
      <c r="B523" s="1175">
        <v>490538642</v>
      </c>
      <c r="C523" s="1175" t="s">
        <v>1025</v>
      </c>
      <c r="D523" s="1175" t="s">
        <v>2034</v>
      </c>
      <c r="F523" s="1175">
        <v>490016052</v>
      </c>
      <c r="G523" s="1175" t="s">
        <v>1316</v>
      </c>
      <c r="H523" s="1178" t="s">
        <v>1766</v>
      </c>
      <c r="I523" s="1178"/>
      <c r="J523" s="1178"/>
      <c r="K523" s="1178"/>
    </row>
    <row r="524" spans="2:11">
      <c r="B524" s="1175">
        <v>490538642</v>
      </c>
      <c r="C524" s="1175" t="s">
        <v>1025</v>
      </c>
      <c r="D524" s="1175" t="s">
        <v>2034</v>
      </c>
      <c r="F524" s="1175">
        <v>490020062</v>
      </c>
      <c r="G524" s="1175" t="s">
        <v>1317</v>
      </c>
      <c r="H524" s="1178" t="s">
        <v>1767</v>
      </c>
      <c r="I524" s="1178"/>
      <c r="J524" s="1178"/>
      <c r="K524" s="1178"/>
    </row>
    <row r="525" spans="2:11">
      <c r="B525" s="1175">
        <v>490538642</v>
      </c>
      <c r="C525" s="1175" t="s">
        <v>1025</v>
      </c>
      <c r="D525" s="1175" t="s">
        <v>2034</v>
      </c>
      <c r="F525" s="1175">
        <v>490020070</v>
      </c>
      <c r="G525" s="1175" t="s">
        <v>1318</v>
      </c>
      <c r="H525" s="1178" t="s">
        <v>1768</v>
      </c>
      <c r="I525" s="1178"/>
      <c r="J525" s="1178"/>
      <c r="K525" s="1178"/>
    </row>
    <row r="526" spans="2:11">
      <c r="B526" s="1175">
        <v>750719239</v>
      </c>
      <c r="C526" s="1175" t="s">
        <v>943</v>
      </c>
      <c r="D526" s="1175" t="s">
        <v>2006</v>
      </c>
      <c r="F526" s="1175">
        <v>490019809</v>
      </c>
      <c r="G526" s="1175" t="s">
        <v>1319</v>
      </c>
      <c r="H526" s="1178" t="s">
        <v>1769</v>
      </c>
      <c r="I526" s="1178"/>
      <c r="J526" s="1178"/>
      <c r="K526" s="1178"/>
    </row>
    <row r="527" spans="2:11">
      <c r="B527" s="1175">
        <v>750719239</v>
      </c>
      <c r="C527" s="1175" t="s">
        <v>943</v>
      </c>
      <c r="D527" s="1175" t="s">
        <v>2006</v>
      </c>
      <c r="F527" s="1175">
        <v>490020278</v>
      </c>
      <c r="G527" s="1175" t="s">
        <v>1198</v>
      </c>
      <c r="H527" s="1178" t="s">
        <v>1770</v>
      </c>
      <c r="I527" s="1178"/>
      <c r="J527" s="1178"/>
      <c r="K527" s="1178"/>
    </row>
    <row r="528" spans="2:11">
      <c r="B528" s="1175">
        <v>750719239</v>
      </c>
      <c r="C528" s="1175" t="s">
        <v>943</v>
      </c>
      <c r="D528" s="1175" t="s">
        <v>2006</v>
      </c>
      <c r="F528" s="1175">
        <v>490540580</v>
      </c>
      <c r="G528" s="1175" t="s">
        <v>1237</v>
      </c>
      <c r="H528" s="1178" t="s">
        <v>1771</v>
      </c>
      <c r="I528" s="1178"/>
      <c r="J528" s="1178"/>
      <c r="K528" s="1178"/>
    </row>
    <row r="529" spans="2:11">
      <c r="B529" s="1175">
        <v>750719239</v>
      </c>
      <c r="C529" s="1175" t="s">
        <v>943</v>
      </c>
      <c r="D529" s="1175" t="s">
        <v>2006</v>
      </c>
      <c r="F529" s="1175">
        <v>490543055</v>
      </c>
      <c r="G529" s="1175" t="s">
        <v>1320</v>
      </c>
      <c r="H529" s="1178" t="s">
        <v>1772</v>
      </c>
      <c r="I529" s="1178"/>
      <c r="J529" s="1178"/>
      <c r="K529" s="1178"/>
    </row>
    <row r="530" spans="2:11">
      <c r="B530" s="1175">
        <v>750721334</v>
      </c>
      <c r="C530" s="1175" t="s">
        <v>1045</v>
      </c>
      <c r="D530" s="1175" t="s">
        <v>2037</v>
      </c>
      <c r="F530" s="1175">
        <v>490000478</v>
      </c>
      <c r="G530" s="1175" t="s">
        <v>1308</v>
      </c>
      <c r="H530" s="1178" t="s">
        <v>1760</v>
      </c>
      <c r="I530" s="1178"/>
      <c r="J530" s="1178"/>
      <c r="K530" s="1178"/>
    </row>
    <row r="531" spans="2:11">
      <c r="B531" s="1175">
        <v>750721334</v>
      </c>
      <c r="C531" s="1175" t="s">
        <v>1045</v>
      </c>
      <c r="D531" s="1175" t="s">
        <v>2037</v>
      </c>
      <c r="F531" s="1175">
        <v>490016805</v>
      </c>
      <c r="G531" s="1175" t="s">
        <v>1321</v>
      </c>
      <c r="H531" s="1178" t="s">
        <v>1773</v>
      </c>
      <c r="I531" s="1178"/>
      <c r="J531" s="1178"/>
      <c r="K531" s="1178"/>
    </row>
    <row r="532" spans="2:11">
      <c r="B532" s="1175">
        <v>750721334</v>
      </c>
      <c r="C532" s="1175" t="s">
        <v>1045</v>
      </c>
      <c r="D532" s="1175" t="s">
        <v>2037</v>
      </c>
      <c r="F532" s="1175">
        <v>490016805</v>
      </c>
      <c r="G532" s="1175" t="s">
        <v>1321</v>
      </c>
      <c r="H532" s="1178" t="s">
        <v>1773</v>
      </c>
      <c r="I532" s="1178"/>
      <c r="J532" s="1178"/>
      <c r="K532" s="1178"/>
    </row>
    <row r="533" spans="2:11">
      <c r="B533" s="1175">
        <v>750721334</v>
      </c>
      <c r="C533" s="1175" t="s">
        <v>1045</v>
      </c>
      <c r="D533" s="1175" t="s">
        <v>2037</v>
      </c>
      <c r="F533" s="1175">
        <v>490531845</v>
      </c>
      <c r="G533" s="1175" t="s">
        <v>981</v>
      </c>
      <c r="H533" s="1178" t="s">
        <v>1774</v>
      </c>
      <c r="I533" s="1178"/>
      <c r="J533" s="1178"/>
      <c r="K533" s="1178"/>
    </row>
    <row r="534" spans="2:11">
      <c r="B534" s="1175">
        <v>920718459</v>
      </c>
      <c r="C534" s="1175" t="s">
        <v>1309</v>
      </c>
      <c r="D534" s="1175" t="s">
        <v>2038</v>
      </c>
      <c r="F534" s="1175">
        <v>490000064</v>
      </c>
      <c r="G534" s="1175" t="s">
        <v>1310</v>
      </c>
      <c r="H534" s="1178" t="s">
        <v>1761</v>
      </c>
      <c r="I534" s="1178"/>
      <c r="J534" s="1178"/>
      <c r="K534" s="1178"/>
    </row>
    <row r="535" spans="2:11">
      <c r="B535" s="1175">
        <v>920718459</v>
      </c>
      <c r="C535" s="1175" t="s">
        <v>1309</v>
      </c>
      <c r="D535" s="1175" t="s">
        <v>2038</v>
      </c>
      <c r="F535" s="1175">
        <v>490007374</v>
      </c>
      <c r="G535" s="1175" t="s">
        <v>1311</v>
      </c>
      <c r="H535" s="1178" t="s">
        <v>1762</v>
      </c>
      <c r="I535" s="1178"/>
      <c r="J535" s="1178"/>
      <c r="K535" s="1178"/>
    </row>
    <row r="536" spans="2:11">
      <c r="B536" s="1175">
        <v>920718459</v>
      </c>
      <c r="C536" s="1175" t="s">
        <v>1309</v>
      </c>
      <c r="D536" s="1175" t="s">
        <v>2038</v>
      </c>
      <c r="F536" s="1175">
        <v>490017498</v>
      </c>
      <c r="G536" s="1175" t="s">
        <v>1322</v>
      </c>
      <c r="H536" s="1178" t="s">
        <v>1775</v>
      </c>
      <c r="I536" s="1178"/>
      <c r="J536" s="1178"/>
      <c r="K536" s="1178"/>
    </row>
    <row r="537" spans="2:11">
      <c r="B537" s="1175">
        <v>920718459</v>
      </c>
      <c r="C537" s="1175" t="s">
        <v>1309</v>
      </c>
      <c r="D537" s="1175" t="s">
        <v>2038</v>
      </c>
      <c r="F537" s="1175">
        <v>490017498</v>
      </c>
      <c r="G537" s="1175" t="s">
        <v>1322</v>
      </c>
      <c r="H537" s="1178" t="s">
        <v>1775</v>
      </c>
      <c r="I537" s="1178"/>
      <c r="J537" s="1178"/>
      <c r="K537" s="1178"/>
    </row>
    <row r="538" spans="2:11">
      <c r="B538" s="1175">
        <v>920809829</v>
      </c>
      <c r="C538" s="1175" t="s">
        <v>1051</v>
      </c>
      <c r="D538" s="1175" t="s">
        <v>2014</v>
      </c>
      <c r="F538" s="1175">
        <v>490016425</v>
      </c>
      <c r="G538" s="1175" t="s">
        <v>1323</v>
      </c>
      <c r="H538" s="1178" t="s">
        <v>1776</v>
      </c>
      <c r="I538" s="1178"/>
      <c r="J538" s="1178"/>
      <c r="K538" s="1178"/>
    </row>
    <row r="539" spans="2:11">
      <c r="B539" s="1175">
        <v>920809829</v>
      </c>
      <c r="C539" s="1175" t="s">
        <v>1051</v>
      </c>
      <c r="D539" s="1175" t="s">
        <v>2014</v>
      </c>
      <c r="F539" s="1175">
        <v>490016425</v>
      </c>
      <c r="G539" s="1175" t="s">
        <v>1323</v>
      </c>
      <c r="H539" s="1178" t="s">
        <v>1776</v>
      </c>
      <c r="I539" s="1178"/>
      <c r="J539" s="1178"/>
      <c r="K539" s="1178"/>
    </row>
    <row r="540" spans="2:11">
      <c r="B540" s="1175">
        <v>920809829</v>
      </c>
      <c r="C540" s="1175" t="s">
        <v>1051</v>
      </c>
      <c r="D540" s="1175" t="s">
        <v>2014</v>
      </c>
      <c r="F540" s="1175">
        <v>490016425</v>
      </c>
      <c r="G540" s="1175" t="s">
        <v>1323</v>
      </c>
      <c r="H540" s="1178" t="s">
        <v>1776</v>
      </c>
      <c r="I540" s="1178"/>
      <c r="J540" s="1178"/>
      <c r="K540" s="1178"/>
    </row>
    <row r="541" spans="2:11">
      <c r="B541" s="1175">
        <v>530000256</v>
      </c>
      <c r="C541" s="1175" t="s">
        <v>932</v>
      </c>
      <c r="D541" s="1175" t="s">
        <v>2039</v>
      </c>
      <c r="F541" s="1175">
        <v>530000215</v>
      </c>
      <c r="G541" s="1175" t="s">
        <v>1324</v>
      </c>
      <c r="H541" s="1178" t="s">
        <v>1777</v>
      </c>
      <c r="I541" s="1178"/>
      <c r="J541" s="1178"/>
      <c r="K541" s="1178"/>
    </row>
    <row r="542" spans="2:11">
      <c r="B542" s="1175">
        <v>530000256</v>
      </c>
      <c r="C542" s="1175" t="s">
        <v>932</v>
      </c>
      <c r="D542" s="1175" t="s">
        <v>2039</v>
      </c>
      <c r="F542" s="1175">
        <v>530000215</v>
      </c>
      <c r="G542" s="1175" t="s">
        <v>1324</v>
      </c>
      <c r="H542" s="1178" t="s">
        <v>1777</v>
      </c>
      <c r="I542" s="1178"/>
      <c r="J542" s="1178"/>
      <c r="K542" s="1178"/>
    </row>
    <row r="543" spans="2:11">
      <c r="B543" s="1175">
        <v>530000256</v>
      </c>
      <c r="C543" s="1175" t="s">
        <v>932</v>
      </c>
      <c r="D543" s="1175" t="s">
        <v>2039</v>
      </c>
      <c r="F543" s="1175">
        <v>530002658</v>
      </c>
      <c r="G543" s="1175" t="s">
        <v>1325</v>
      </c>
      <c r="H543" s="1178" t="s">
        <v>1778</v>
      </c>
      <c r="I543" s="1178"/>
      <c r="J543" s="1178"/>
      <c r="K543" s="1178"/>
    </row>
    <row r="544" spans="2:11">
      <c r="B544" s="1175">
        <v>530000850</v>
      </c>
      <c r="C544" s="1175" t="s">
        <v>1326</v>
      </c>
      <c r="D544" s="1175" t="s">
        <v>2040</v>
      </c>
      <c r="F544" s="1175">
        <v>530006279</v>
      </c>
      <c r="G544" s="1175" t="s">
        <v>1327</v>
      </c>
      <c r="H544" s="1178" t="s">
        <v>1779</v>
      </c>
      <c r="I544" s="1178"/>
      <c r="J544" s="1178"/>
      <c r="K544" s="1178"/>
    </row>
    <row r="545" spans="2:11">
      <c r="B545" s="1175">
        <v>530000850</v>
      </c>
      <c r="C545" s="1175" t="s">
        <v>1326</v>
      </c>
      <c r="D545" s="1175" t="s">
        <v>2040</v>
      </c>
      <c r="F545" s="1175">
        <v>530006329</v>
      </c>
      <c r="G545" s="1175" t="s">
        <v>1328</v>
      </c>
      <c r="H545" s="1178" t="s">
        <v>1779</v>
      </c>
      <c r="I545" s="1178"/>
      <c r="J545" s="1178"/>
      <c r="K545" s="1178"/>
    </row>
    <row r="546" spans="2:11">
      <c r="B546" s="1175">
        <v>530000850</v>
      </c>
      <c r="C546" s="1175" t="s">
        <v>1326</v>
      </c>
      <c r="D546" s="1175" t="s">
        <v>2040</v>
      </c>
      <c r="F546" s="1175">
        <v>530007582</v>
      </c>
      <c r="G546" s="1175" t="s">
        <v>1329</v>
      </c>
      <c r="H546" s="1178" t="s">
        <v>1780</v>
      </c>
      <c r="I546" s="1178"/>
      <c r="J546" s="1178"/>
      <c r="K546" s="1178"/>
    </row>
    <row r="547" spans="2:11">
      <c r="B547" s="1175">
        <v>530000850</v>
      </c>
      <c r="C547" s="1175" t="s">
        <v>1326</v>
      </c>
      <c r="D547" s="1175" t="s">
        <v>2040</v>
      </c>
      <c r="F547" s="1175">
        <v>530007590</v>
      </c>
      <c r="G547" s="1175" t="s">
        <v>1330</v>
      </c>
      <c r="H547" s="1178" t="s">
        <v>1779</v>
      </c>
      <c r="I547" s="1178"/>
      <c r="J547" s="1178"/>
      <c r="K547" s="1178"/>
    </row>
    <row r="548" spans="2:11">
      <c r="B548" s="1175">
        <v>530000850</v>
      </c>
      <c r="C548" s="1175" t="s">
        <v>1326</v>
      </c>
      <c r="D548" s="1175" t="s">
        <v>2040</v>
      </c>
      <c r="F548" s="1175">
        <v>530030154</v>
      </c>
      <c r="G548" s="1175" t="s">
        <v>1331</v>
      </c>
      <c r="H548" s="1178" t="s">
        <v>1781</v>
      </c>
      <c r="I548" s="1178"/>
      <c r="J548" s="1178"/>
      <c r="K548" s="1178"/>
    </row>
    <row r="549" spans="2:11">
      <c r="B549" s="1175">
        <v>530007186</v>
      </c>
      <c r="C549" s="1175" t="s">
        <v>1049</v>
      </c>
      <c r="D549" s="1175" t="s">
        <v>2041</v>
      </c>
      <c r="F549" s="1175">
        <v>530007962</v>
      </c>
      <c r="G549" s="1175" t="s">
        <v>1332</v>
      </c>
      <c r="H549" s="1178" t="s">
        <v>1782</v>
      </c>
      <c r="I549" s="1178"/>
      <c r="J549" s="1178"/>
      <c r="K549" s="1178"/>
    </row>
    <row r="550" spans="2:11">
      <c r="B550" s="1175">
        <v>530007186</v>
      </c>
      <c r="C550" s="1175" t="s">
        <v>1049</v>
      </c>
      <c r="D550" s="1175" t="s">
        <v>2041</v>
      </c>
      <c r="F550" s="1175">
        <v>530033042</v>
      </c>
      <c r="G550" s="1175" t="s">
        <v>1333</v>
      </c>
      <c r="H550" s="1178" t="s">
        <v>1783</v>
      </c>
      <c r="I550" s="1178"/>
      <c r="J550" s="1178"/>
      <c r="K550" s="1178"/>
    </row>
    <row r="551" spans="2:11">
      <c r="B551" s="1175">
        <v>530008168</v>
      </c>
      <c r="C551" s="1175" t="s">
        <v>947</v>
      </c>
      <c r="D551" s="1175" t="s">
        <v>2042</v>
      </c>
      <c r="F551" s="1175">
        <v>530002716</v>
      </c>
      <c r="G551" s="1175" t="s">
        <v>946</v>
      </c>
      <c r="H551" s="1178" t="s">
        <v>1784</v>
      </c>
      <c r="I551" s="1178"/>
      <c r="J551" s="1178"/>
      <c r="K551" s="1178"/>
    </row>
    <row r="552" spans="2:11">
      <c r="B552" s="1175">
        <v>530008168</v>
      </c>
      <c r="C552" s="1175" t="s">
        <v>947</v>
      </c>
      <c r="D552" s="1175" t="s">
        <v>2042</v>
      </c>
      <c r="F552" s="1175">
        <v>530033216</v>
      </c>
      <c r="G552" s="1175" t="s">
        <v>999</v>
      </c>
      <c r="H552" s="1178" t="s">
        <v>1785</v>
      </c>
      <c r="I552" s="1178"/>
      <c r="J552" s="1178"/>
      <c r="K552" s="1178"/>
    </row>
    <row r="553" spans="2:11">
      <c r="B553" s="1175">
        <v>530008168</v>
      </c>
      <c r="C553" s="1175" t="s">
        <v>947</v>
      </c>
      <c r="D553" s="1175" t="s">
        <v>2042</v>
      </c>
      <c r="F553" s="1175">
        <v>530033216</v>
      </c>
      <c r="G553" s="1175" t="s">
        <v>999</v>
      </c>
      <c r="H553" s="1178" t="s">
        <v>1785</v>
      </c>
      <c r="I553" s="1178"/>
      <c r="J553" s="1178"/>
      <c r="K553" s="1178"/>
    </row>
    <row r="554" spans="2:11">
      <c r="B554" s="1175">
        <v>530031434</v>
      </c>
      <c r="C554" s="1175" t="s">
        <v>1028</v>
      </c>
      <c r="D554" s="1175" t="s">
        <v>2043</v>
      </c>
      <c r="F554" s="1175">
        <v>530003284</v>
      </c>
      <c r="G554" s="1175" t="s">
        <v>1334</v>
      </c>
      <c r="H554" s="1178" t="s">
        <v>1786</v>
      </c>
      <c r="I554" s="1178"/>
      <c r="J554" s="1178"/>
      <c r="K554" s="1178"/>
    </row>
    <row r="555" spans="2:11">
      <c r="B555" s="1175">
        <v>530031434</v>
      </c>
      <c r="C555" s="1175" t="s">
        <v>1028</v>
      </c>
      <c r="D555" s="1175" t="s">
        <v>2043</v>
      </c>
      <c r="F555" s="1175">
        <v>530003284</v>
      </c>
      <c r="G555" s="1175" t="s">
        <v>1334</v>
      </c>
      <c r="H555" s="1178" t="s">
        <v>1786</v>
      </c>
      <c r="I555" s="1178"/>
      <c r="J555" s="1178"/>
      <c r="K555" s="1178"/>
    </row>
    <row r="556" spans="2:11">
      <c r="B556" s="1175">
        <v>530031434</v>
      </c>
      <c r="C556" s="1175" t="s">
        <v>1028</v>
      </c>
      <c r="D556" s="1175" t="s">
        <v>2043</v>
      </c>
      <c r="F556" s="1175">
        <v>530005917</v>
      </c>
      <c r="G556" s="1175" t="s">
        <v>1335</v>
      </c>
      <c r="H556" s="1178" t="s">
        <v>1787</v>
      </c>
      <c r="I556" s="1178"/>
      <c r="J556" s="1178"/>
      <c r="K556" s="1178"/>
    </row>
    <row r="557" spans="2:11">
      <c r="B557" s="1175">
        <v>530031434</v>
      </c>
      <c r="C557" s="1175" t="s">
        <v>1028</v>
      </c>
      <c r="D557" s="1175" t="s">
        <v>2043</v>
      </c>
      <c r="F557" s="1175">
        <v>530005917</v>
      </c>
      <c r="G557" s="1175" t="s">
        <v>1335</v>
      </c>
      <c r="H557" s="1178" t="s">
        <v>1787</v>
      </c>
      <c r="I557" s="1178"/>
      <c r="J557" s="1178"/>
      <c r="K557" s="1178"/>
    </row>
    <row r="558" spans="2:11">
      <c r="B558" s="1175">
        <v>530031434</v>
      </c>
      <c r="C558" s="1175" t="s">
        <v>1028</v>
      </c>
      <c r="D558" s="1175" t="s">
        <v>2043</v>
      </c>
      <c r="F558" s="1175">
        <v>530005925</v>
      </c>
      <c r="G558" s="1175" t="s">
        <v>1336</v>
      </c>
      <c r="H558" s="1178" t="s">
        <v>1788</v>
      </c>
      <c r="I558" s="1178"/>
      <c r="J558" s="1178"/>
      <c r="K558" s="1178"/>
    </row>
    <row r="559" spans="2:11">
      <c r="B559" s="1175">
        <v>530031434</v>
      </c>
      <c r="C559" s="1175" t="s">
        <v>1028</v>
      </c>
      <c r="D559" s="1175" t="s">
        <v>2043</v>
      </c>
      <c r="F559" s="1175">
        <v>530029149</v>
      </c>
      <c r="G559" s="1175" t="s">
        <v>1337</v>
      </c>
      <c r="H559" s="1178" t="s">
        <v>1789</v>
      </c>
      <c r="I559" s="1178"/>
      <c r="J559" s="1178"/>
      <c r="K559" s="1178"/>
    </row>
    <row r="560" spans="2:11">
      <c r="B560" s="1175">
        <v>530031434</v>
      </c>
      <c r="C560" s="1175" t="s">
        <v>1028</v>
      </c>
      <c r="D560" s="1175" t="s">
        <v>2043</v>
      </c>
      <c r="F560" s="1175">
        <v>530029149</v>
      </c>
      <c r="G560" s="1175" t="s">
        <v>1337</v>
      </c>
      <c r="H560" s="1178" t="s">
        <v>1789</v>
      </c>
      <c r="I560" s="1178"/>
      <c r="J560" s="1178"/>
      <c r="K560" s="1178"/>
    </row>
    <row r="561" spans="2:11">
      <c r="B561" s="1175">
        <v>530031434</v>
      </c>
      <c r="C561" s="1175" t="s">
        <v>1028</v>
      </c>
      <c r="D561" s="1175" t="s">
        <v>2043</v>
      </c>
      <c r="F561" s="1175">
        <v>530029149</v>
      </c>
      <c r="G561" s="1175" t="s">
        <v>1337</v>
      </c>
      <c r="H561" s="1178" t="s">
        <v>1789</v>
      </c>
      <c r="I561" s="1178"/>
      <c r="J561" s="1178"/>
      <c r="K561" s="1178"/>
    </row>
    <row r="562" spans="2:11">
      <c r="B562" s="1175">
        <v>530031434</v>
      </c>
      <c r="C562" s="1175" t="s">
        <v>1028</v>
      </c>
      <c r="D562" s="1175" t="s">
        <v>2043</v>
      </c>
      <c r="F562" s="1175">
        <v>530030162</v>
      </c>
      <c r="G562" s="1175" t="s">
        <v>1338</v>
      </c>
      <c r="H562" s="1178" t="s">
        <v>1790</v>
      </c>
      <c r="I562" s="1178"/>
      <c r="J562" s="1178"/>
      <c r="K562" s="1178"/>
    </row>
    <row r="563" spans="2:11">
      <c r="B563" s="1175">
        <v>530031434</v>
      </c>
      <c r="C563" s="1175" t="s">
        <v>1028</v>
      </c>
      <c r="D563" s="1175" t="s">
        <v>2043</v>
      </c>
      <c r="F563" s="1175">
        <v>530030162</v>
      </c>
      <c r="G563" s="1175" t="s">
        <v>1338</v>
      </c>
      <c r="H563" s="1178" t="s">
        <v>1790</v>
      </c>
      <c r="I563" s="1178"/>
      <c r="J563" s="1178"/>
      <c r="K563" s="1178"/>
    </row>
    <row r="564" spans="2:11">
      <c r="B564" s="1175">
        <v>530033000</v>
      </c>
      <c r="C564" s="1175" t="s">
        <v>1036</v>
      </c>
      <c r="D564" s="1175" t="s">
        <v>2044</v>
      </c>
      <c r="F564" s="1175">
        <v>530003276</v>
      </c>
      <c r="G564" s="1175" t="s">
        <v>1339</v>
      </c>
      <c r="H564" s="1178" t="s">
        <v>1791</v>
      </c>
      <c r="I564" s="1178"/>
      <c r="J564" s="1178"/>
      <c r="K564" s="1178"/>
    </row>
    <row r="565" spans="2:11">
      <c r="B565" s="1175">
        <v>530033000</v>
      </c>
      <c r="C565" s="1175" t="s">
        <v>1036</v>
      </c>
      <c r="D565" s="1175" t="s">
        <v>2044</v>
      </c>
      <c r="F565" s="1175">
        <v>530003276</v>
      </c>
      <c r="G565" s="1175" t="s">
        <v>1339</v>
      </c>
      <c r="H565" s="1178" t="s">
        <v>1791</v>
      </c>
      <c r="I565" s="1178"/>
      <c r="J565" s="1178"/>
      <c r="K565" s="1178"/>
    </row>
    <row r="566" spans="2:11">
      <c r="B566" s="1175">
        <v>530033000</v>
      </c>
      <c r="C566" s="1175" t="s">
        <v>1036</v>
      </c>
      <c r="D566" s="1175" t="s">
        <v>2044</v>
      </c>
      <c r="F566" s="1175">
        <v>530028554</v>
      </c>
      <c r="G566" s="1175" t="s">
        <v>1340</v>
      </c>
      <c r="H566" s="1178" t="s">
        <v>1792</v>
      </c>
      <c r="I566" s="1178"/>
      <c r="J566" s="1178"/>
      <c r="K566" s="1178"/>
    </row>
    <row r="567" spans="2:11">
      <c r="B567" s="1175">
        <v>530033000</v>
      </c>
      <c r="C567" s="1175" t="s">
        <v>1036</v>
      </c>
      <c r="D567" s="1175" t="s">
        <v>2044</v>
      </c>
      <c r="F567" s="1175">
        <v>530031699</v>
      </c>
      <c r="G567" s="1175" t="s">
        <v>1341</v>
      </c>
      <c r="H567" s="1178" t="s">
        <v>1793</v>
      </c>
      <c r="I567" s="1178"/>
      <c r="J567" s="1178"/>
      <c r="K567" s="1178"/>
    </row>
    <row r="568" spans="2:11">
      <c r="B568" s="1175">
        <v>720008762</v>
      </c>
      <c r="C568" s="1175" t="s">
        <v>1034</v>
      </c>
      <c r="D568" s="1175" t="s">
        <v>2045</v>
      </c>
      <c r="F568" s="1175">
        <v>530032085</v>
      </c>
      <c r="G568" s="1175" t="s">
        <v>1342</v>
      </c>
      <c r="H568" s="1178" t="s">
        <v>1794</v>
      </c>
      <c r="I568" s="1178"/>
      <c r="J568" s="1178"/>
      <c r="K568" s="1178"/>
    </row>
    <row r="569" spans="2:11">
      <c r="B569" s="1175">
        <v>750719239</v>
      </c>
      <c r="C569" s="1175" t="s">
        <v>943</v>
      </c>
      <c r="D569" s="1175" t="s">
        <v>2006</v>
      </c>
      <c r="F569" s="1175">
        <v>530007251</v>
      </c>
      <c r="G569" s="1175" t="s">
        <v>965</v>
      </c>
      <c r="H569" s="1178" t="s">
        <v>1795</v>
      </c>
      <c r="I569" s="1178"/>
      <c r="J569" s="1178"/>
      <c r="K569" s="1178"/>
    </row>
    <row r="570" spans="2:11">
      <c r="B570" s="1175">
        <v>750719239</v>
      </c>
      <c r="C570" s="1175" t="s">
        <v>943</v>
      </c>
      <c r="D570" s="1175" t="s">
        <v>2006</v>
      </c>
      <c r="F570" s="1175">
        <v>530007251</v>
      </c>
      <c r="G570" s="1175" t="s">
        <v>965</v>
      </c>
      <c r="H570" s="1178" t="s">
        <v>1795</v>
      </c>
      <c r="I570" s="1178"/>
      <c r="J570" s="1178"/>
      <c r="K570" s="1178"/>
    </row>
    <row r="571" spans="2:11">
      <c r="B571" s="1175">
        <v>750719239</v>
      </c>
      <c r="C571" s="1175" t="s">
        <v>943</v>
      </c>
      <c r="D571" s="1175" t="s">
        <v>2006</v>
      </c>
      <c r="F571" s="1175">
        <v>530007301</v>
      </c>
      <c r="G571" s="1175" t="s">
        <v>1343</v>
      </c>
      <c r="H571" s="1178" t="s">
        <v>1796</v>
      </c>
      <c r="I571" s="1178"/>
      <c r="J571" s="1178"/>
      <c r="K571" s="1178"/>
    </row>
    <row r="572" spans="2:11">
      <c r="B572" s="1175">
        <v>750719239</v>
      </c>
      <c r="C572" s="1175" t="s">
        <v>943</v>
      </c>
      <c r="D572" s="1175" t="s">
        <v>2006</v>
      </c>
      <c r="F572" s="1175">
        <v>530007418</v>
      </c>
      <c r="G572" s="1175" t="s">
        <v>1344</v>
      </c>
      <c r="H572" s="1178" t="s">
        <v>1797</v>
      </c>
      <c r="I572" s="1178"/>
      <c r="J572" s="1178"/>
      <c r="K572" s="1178"/>
    </row>
    <row r="573" spans="2:11">
      <c r="B573" s="1175">
        <v>750719239</v>
      </c>
      <c r="C573" s="1175" t="s">
        <v>943</v>
      </c>
      <c r="D573" s="1175" t="s">
        <v>2006</v>
      </c>
      <c r="F573" s="1175">
        <v>530032820</v>
      </c>
      <c r="G573" s="1175" t="s">
        <v>1319</v>
      </c>
      <c r="H573" s="1178" t="s">
        <v>1798</v>
      </c>
      <c r="I573" s="1178"/>
      <c r="J573" s="1178"/>
      <c r="K573" s="1178"/>
    </row>
    <row r="574" spans="2:11">
      <c r="B574" s="1175">
        <v>750719239</v>
      </c>
      <c r="C574" s="1175" t="s">
        <v>943</v>
      </c>
      <c r="D574" s="1175" t="s">
        <v>2006</v>
      </c>
      <c r="F574" s="1175">
        <v>530033406</v>
      </c>
      <c r="G574" s="1175" t="s">
        <v>1345</v>
      </c>
      <c r="H574" s="1178" t="s">
        <v>1799</v>
      </c>
      <c r="I574" s="1178"/>
      <c r="J574" s="1178"/>
      <c r="K574" s="1178"/>
    </row>
    <row r="575" spans="2:11">
      <c r="B575" s="1175">
        <v>750719239</v>
      </c>
      <c r="C575" s="1175" t="s">
        <v>943</v>
      </c>
      <c r="D575" s="1175" t="s">
        <v>2006</v>
      </c>
      <c r="F575" s="1175">
        <v>530033406</v>
      </c>
      <c r="G575" s="1175" t="s">
        <v>1345</v>
      </c>
      <c r="H575" s="1178" t="s">
        <v>1799</v>
      </c>
      <c r="I575" s="1178"/>
      <c r="J575" s="1178"/>
      <c r="K575" s="1178"/>
    </row>
    <row r="576" spans="2:11">
      <c r="B576" s="1175">
        <v>750720245</v>
      </c>
      <c r="C576" s="1175" t="s">
        <v>1220</v>
      </c>
      <c r="D576" s="1175" t="s">
        <v>2007</v>
      </c>
      <c r="F576" s="1175">
        <v>530008861</v>
      </c>
      <c r="G576" s="1175" t="s">
        <v>1198</v>
      </c>
      <c r="H576" s="1178" t="s">
        <v>1800</v>
      </c>
      <c r="I576" s="1178"/>
      <c r="J576" s="1178"/>
      <c r="K576" s="1178"/>
    </row>
    <row r="577" spans="2:11">
      <c r="B577" s="1175">
        <v>750720245</v>
      </c>
      <c r="C577" s="1175" t="s">
        <v>1220</v>
      </c>
      <c r="D577" s="1175" t="s">
        <v>2007</v>
      </c>
      <c r="F577" s="1175">
        <v>530033034</v>
      </c>
      <c r="G577" s="1175" t="s">
        <v>1346</v>
      </c>
      <c r="H577" s="1178" t="s">
        <v>1801</v>
      </c>
      <c r="I577" s="1178"/>
      <c r="J577" s="1178"/>
      <c r="K577" s="1178"/>
    </row>
    <row r="578" spans="2:11">
      <c r="B578" s="1175">
        <v>530000256</v>
      </c>
      <c r="C578" s="1175" t="s">
        <v>932</v>
      </c>
      <c r="D578" s="1175" t="s">
        <v>2039</v>
      </c>
      <c r="F578" s="1175">
        <v>530002658</v>
      </c>
      <c r="G578" s="1175" t="s">
        <v>1325</v>
      </c>
      <c r="H578" s="1178" t="s">
        <v>1778</v>
      </c>
      <c r="I578" s="1178"/>
      <c r="J578" s="1178"/>
      <c r="K578" s="1178"/>
    </row>
    <row r="579" spans="2:11">
      <c r="B579" s="1175">
        <v>530000256</v>
      </c>
      <c r="C579" s="1175" t="s">
        <v>932</v>
      </c>
      <c r="D579" s="1175" t="s">
        <v>2039</v>
      </c>
      <c r="F579" s="1175">
        <v>530002708</v>
      </c>
      <c r="G579" s="1175" t="s">
        <v>1347</v>
      </c>
      <c r="H579" s="1178" t="s">
        <v>1778</v>
      </c>
      <c r="I579" s="1178"/>
      <c r="J579" s="1178"/>
      <c r="K579" s="1178"/>
    </row>
    <row r="580" spans="2:11">
      <c r="B580" s="1175">
        <v>530000702</v>
      </c>
      <c r="C580" s="1175" t="s">
        <v>1348</v>
      </c>
      <c r="D580" s="1175" t="s">
        <v>2046</v>
      </c>
      <c r="F580" s="1175">
        <v>530028588</v>
      </c>
      <c r="G580" s="1175" t="s">
        <v>953</v>
      </c>
      <c r="H580" s="1178" t="s">
        <v>1802</v>
      </c>
      <c r="I580" s="1178"/>
      <c r="J580" s="1178"/>
      <c r="K580" s="1178"/>
    </row>
    <row r="581" spans="2:11">
      <c r="B581" s="1175">
        <v>530000710</v>
      </c>
      <c r="C581" s="1175" t="s">
        <v>1349</v>
      </c>
      <c r="D581" s="1175" t="s">
        <v>2047</v>
      </c>
      <c r="F581" s="1175">
        <v>530028562</v>
      </c>
      <c r="G581" s="1175" t="s">
        <v>1350</v>
      </c>
      <c r="H581" s="1178" t="s">
        <v>1803</v>
      </c>
      <c r="I581" s="1178"/>
      <c r="J581" s="1178"/>
      <c r="K581" s="1178"/>
    </row>
    <row r="582" spans="2:11">
      <c r="B582" s="1175">
        <v>530000710</v>
      </c>
      <c r="C582" s="1175" t="s">
        <v>1349</v>
      </c>
      <c r="D582" s="1175" t="s">
        <v>2047</v>
      </c>
      <c r="F582" s="1175">
        <v>530028604</v>
      </c>
      <c r="G582" s="1175" t="s">
        <v>1351</v>
      </c>
      <c r="H582" s="1178" t="s">
        <v>1804</v>
      </c>
      <c r="I582" s="1178"/>
      <c r="J582" s="1178"/>
      <c r="K582" s="1178"/>
    </row>
    <row r="583" spans="2:11">
      <c r="B583" s="1175">
        <v>530006618</v>
      </c>
      <c r="C583" s="1175" t="s">
        <v>945</v>
      </c>
      <c r="D583" s="1175" t="s">
        <v>2048</v>
      </c>
      <c r="F583" s="1175">
        <v>530029156</v>
      </c>
      <c r="G583" s="1175" t="s">
        <v>944</v>
      </c>
      <c r="H583" s="1178" t="s">
        <v>1805</v>
      </c>
      <c r="I583" s="1178"/>
      <c r="J583" s="1178"/>
      <c r="K583" s="1178"/>
    </row>
    <row r="584" spans="2:11">
      <c r="B584" s="1175">
        <v>530006618</v>
      </c>
      <c r="C584" s="1175" t="s">
        <v>945</v>
      </c>
      <c r="D584" s="1175" t="s">
        <v>2048</v>
      </c>
      <c r="F584" s="1175">
        <v>530029156</v>
      </c>
      <c r="G584" s="1175" t="s">
        <v>944</v>
      </c>
      <c r="H584" s="1178" t="s">
        <v>1805</v>
      </c>
      <c r="I584" s="1178"/>
      <c r="J584" s="1178"/>
      <c r="K584" s="1178"/>
    </row>
    <row r="585" spans="2:11">
      <c r="B585" s="1175">
        <v>530007186</v>
      </c>
      <c r="C585" s="1175" t="s">
        <v>1049</v>
      </c>
      <c r="D585" s="1175" t="s">
        <v>2041</v>
      </c>
      <c r="F585" s="1175">
        <v>530005834</v>
      </c>
      <c r="G585" s="1175" t="s">
        <v>1352</v>
      </c>
      <c r="H585" s="1178" t="s">
        <v>1783</v>
      </c>
      <c r="I585" s="1178"/>
      <c r="J585" s="1178"/>
      <c r="K585" s="1178"/>
    </row>
    <row r="586" spans="2:11">
      <c r="B586" s="1175">
        <v>530007186</v>
      </c>
      <c r="C586" s="1175" t="s">
        <v>1049</v>
      </c>
      <c r="D586" s="1175" t="s">
        <v>2041</v>
      </c>
      <c r="F586" s="1175">
        <v>530006808</v>
      </c>
      <c r="G586" s="1175" t="s">
        <v>1353</v>
      </c>
      <c r="H586" s="1178" t="s">
        <v>1783</v>
      </c>
      <c r="I586" s="1178"/>
      <c r="J586" s="1178"/>
      <c r="K586" s="1178"/>
    </row>
    <row r="587" spans="2:11">
      <c r="B587" s="1175">
        <v>530031434</v>
      </c>
      <c r="C587" s="1175" t="s">
        <v>1028</v>
      </c>
      <c r="D587" s="1175" t="s">
        <v>2043</v>
      </c>
      <c r="F587" s="1175">
        <v>530000199</v>
      </c>
      <c r="G587" s="1175" t="s">
        <v>1354</v>
      </c>
      <c r="H587" s="1178" t="s">
        <v>1806</v>
      </c>
      <c r="I587" s="1178"/>
      <c r="J587" s="1178"/>
      <c r="K587" s="1178"/>
    </row>
    <row r="588" spans="2:11">
      <c r="B588" s="1175">
        <v>530031434</v>
      </c>
      <c r="C588" s="1175" t="s">
        <v>1028</v>
      </c>
      <c r="D588" s="1175" t="s">
        <v>2043</v>
      </c>
      <c r="F588" s="1175">
        <v>530000199</v>
      </c>
      <c r="G588" s="1175" t="s">
        <v>1354</v>
      </c>
      <c r="H588" s="1178" t="s">
        <v>1806</v>
      </c>
      <c r="I588" s="1178"/>
      <c r="J588" s="1178"/>
      <c r="K588" s="1178"/>
    </row>
    <row r="589" spans="2:11">
      <c r="B589" s="1175">
        <v>530031434</v>
      </c>
      <c r="C589" s="1175" t="s">
        <v>1028</v>
      </c>
      <c r="D589" s="1175" t="s">
        <v>2043</v>
      </c>
      <c r="F589" s="1175">
        <v>530000223</v>
      </c>
      <c r="G589" s="1175" t="s">
        <v>1355</v>
      </c>
      <c r="H589" s="1178" t="s">
        <v>1807</v>
      </c>
      <c r="I589" s="1178"/>
      <c r="J589" s="1178"/>
      <c r="K589" s="1178"/>
    </row>
    <row r="590" spans="2:11">
      <c r="B590" s="1175">
        <v>530031434</v>
      </c>
      <c r="C590" s="1175" t="s">
        <v>1028</v>
      </c>
      <c r="D590" s="1175" t="s">
        <v>2043</v>
      </c>
      <c r="F590" s="1175">
        <v>530000223</v>
      </c>
      <c r="G590" s="1175" t="s">
        <v>1355</v>
      </c>
      <c r="H590" s="1178" t="s">
        <v>1807</v>
      </c>
      <c r="I590" s="1178"/>
      <c r="J590" s="1178"/>
      <c r="K590" s="1178"/>
    </row>
    <row r="591" spans="2:11">
      <c r="B591" s="1175">
        <v>530031434</v>
      </c>
      <c r="C591" s="1175" t="s">
        <v>1028</v>
      </c>
      <c r="D591" s="1175" t="s">
        <v>2043</v>
      </c>
      <c r="F591" s="1175">
        <v>530005925</v>
      </c>
      <c r="G591" s="1175" t="s">
        <v>1336</v>
      </c>
      <c r="H591" s="1178" t="s">
        <v>1788</v>
      </c>
      <c r="I591" s="1178"/>
      <c r="J591" s="1178"/>
      <c r="K591" s="1178"/>
    </row>
    <row r="592" spans="2:11">
      <c r="B592" s="1175">
        <v>530031434</v>
      </c>
      <c r="C592" s="1175" t="s">
        <v>1028</v>
      </c>
      <c r="D592" s="1175" t="s">
        <v>2043</v>
      </c>
      <c r="F592" s="1175">
        <v>530008044</v>
      </c>
      <c r="G592" s="1175" t="s">
        <v>956</v>
      </c>
      <c r="H592" s="1178" t="s">
        <v>1788</v>
      </c>
      <c r="I592" s="1178"/>
      <c r="J592" s="1178"/>
      <c r="K592" s="1178"/>
    </row>
    <row r="593" spans="2:11">
      <c r="B593" s="1175">
        <v>530031434</v>
      </c>
      <c r="C593" s="1175" t="s">
        <v>1028</v>
      </c>
      <c r="D593" s="1175" t="s">
        <v>2043</v>
      </c>
      <c r="F593" s="1175">
        <v>530008622</v>
      </c>
      <c r="G593" s="1175" t="s">
        <v>1356</v>
      </c>
      <c r="H593" s="1178" t="s">
        <v>1808</v>
      </c>
      <c r="I593" s="1178"/>
      <c r="J593" s="1178"/>
      <c r="K593" s="1178"/>
    </row>
    <row r="594" spans="2:11">
      <c r="B594" s="1175">
        <v>530031434</v>
      </c>
      <c r="C594" s="1175" t="s">
        <v>1028</v>
      </c>
      <c r="D594" s="1175" t="s">
        <v>2043</v>
      </c>
      <c r="F594" s="1175">
        <v>530028547</v>
      </c>
      <c r="G594" s="1175" t="s">
        <v>1357</v>
      </c>
      <c r="H594" s="1178" t="s">
        <v>1809</v>
      </c>
      <c r="I594" s="1178"/>
      <c r="J594" s="1178"/>
      <c r="K594" s="1178"/>
    </row>
    <row r="595" spans="2:11">
      <c r="B595" s="1175">
        <v>530031434</v>
      </c>
      <c r="C595" s="1175" t="s">
        <v>1028</v>
      </c>
      <c r="D595" s="1175" t="s">
        <v>2043</v>
      </c>
      <c r="F595" s="1175">
        <v>530028596</v>
      </c>
      <c r="G595" s="1175" t="s">
        <v>952</v>
      </c>
      <c r="H595" s="1178" t="s">
        <v>1810</v>
      </c>
      <c r="I595" s="1178"/>
      <c r="J595" s="1178"/>
      <c r="K595" s="1178"/>
    </row>
    <row r="596" spans="2:11">
      <c r="B596" s="1175">
        <v>530031434</v>
      </c>
      <c r="C596" s="1175" t="s">
        <v>1028</v>
      </c>
      <c r="D596" s="1175" t="s">
        <v>2043</v>
      </c>
      <c r="F596" s="1175">
        <v>530030162</v>
      </c>
      <c r="G596" s="1175" t="s">
        <v>1338</v>
      </c>
      <c r="H596" s="1178" t="s">
        <v>1790</v>
      </c>
      <c r="I596" s="1178"/>
      <c r="J596" s="1178"/>
      <c r="K596" s="1178"/>
    </row>
    <row r="597" spans="2:11">
      <c r="B597" s="1175">
        <v>530031905</v>
      </c>
      <c r="C597" s="1175" t="s">
        <v>1358</v>
      </c>
      <c r="D597" s="1175" t="s">
        <v>2049</v>
      </c>
      <c r="F597" s="1175">
        <v>530028570</v>
      </c>
      <c r="G597" s="1175" t="s">
        <v>1359</v>
      </c>
      <c r="H597" s="1178" t="s">
        <v>1811</v>
      </c>
      <c r="I597" s="1178"/>
      <c r="J597" s="1178"/>
      <c r="K597" s="1178"/>
    </row>
    <row r="598" spans="2:11">
      <c r="B598" s="1175">
        <v>530031913</v>
      </c>
      <c r="C598" s="1175" t="s">
        <v>997</v>
      </c>
      <c r="D598" s="1175" t="s">
        <v>2050</v>
      </c>
      <c r="F598" s="1175">
        <v>530028620</v>
      </c>
      <c r="G598" s="1175" t="s">
        <v>1360</v>
      </c>
      <c r="H598" s="1178" t="s">
        <v>1812</v>
      </c>
      <c r="I598" s="1178"/>
      <c r="J598" s="1178"/>
      <c r="K598" s="1178"/>
    </row>
    <row r="599" spans="2:11">
      <c r="B599" s="1175">
        <v>530033000</v>
      </c>
      <c r="C599" s="1175" t="s">
        <v>1036</v>
      </c>
      <c r="D599" s="1175" t="s">
        <v>2044</v>
      </c>
      <c r="F599" s="1175">
        <v>530002070</v>
      </c>
      <c r="G599" s="1175" t="s">
        <v>1361</v>
      </c>
      <c r="H599" s="1178" t="s">
        <v>1813</v>
      </c>
      <c r="I599" s="1178"/>
      <c r="J599" s="1178"/>
      <c r="K599" s="1178"/>
    </row>
    <row r="600" spans="2:11">
      <c r="B600" s="1175">
        <v>530033000</v>
      </c>
      <c r="C600" s="1175" t="s">
        <v>1036</v>
      </c>
      <c r="D600" s="1175" t="s">
        <v>2044</v>
      </c>
      <c r="F600" s="1175">
        <v>530002070</v>
      </c>
      <c r="G600" s="1175" t="s">
        <v>1361</v>
      </c>
      <c r="H600" s="1178" t="s">
        <v>1813</v>
      </c>
      <c r="I600" s="1178"/>
      <c r="J600" s="1178"/>
      <c r="K600" s="1178"/>
    </row>
    <row r="601" spans="2:11">
      <c r="B601" s="1175">
        <v>720008762</v>
      </c>
      <c r="C601" s="1175" t="s">
        <v>1034</v>
      </c>
      <c r="D601" s="1175" t="s">
        <v>2045</v>
      </c>
      <c r="F601" s="1175">
        <v>530032085</v>
      </c>
      <c r="G601" s="1175" t="s">
        <v>1342</v>
      </c>
      <c r="H601" s="1178" t="s">
        <v>1794</v>
      </c>
      <c r="I601" s="1178"/>
      <c r="J601" s="1178"/>
      <c r="K601" s="1178"/>
    </row>
    <row r="602" spans="2:11">
      <c r="B602" s="1175">
        <v>720008853</v>
      </c>
      <c r="C602" s="1175" t="s">
        <v>1362</v>
      </c>
      <c r="D602" s="1175" t="s">
        <v>2051</v>
      </c>
      <c r="F602" s="1175">
        <v>530000280</v>
      </c>
      <c r="G602" s="1175" t="s">
        <v>1363</v>
      </c>
      <c r="H602" s="1178" t="s">
        <v>1814</v>
      </c>
      <c r="I602" s="1178"/>
      <c r="J602" s="1178"/>
      <c r="K602" s="1178"/>
    </row>
    <row r="603" spans="2:11">
      <c r="B603" s="1175">
        <v>750719239</v>
      </c>
      <c r="C603" s="1175" t="s">
        <v>943</v>
      </c>
      <c r="D603" s="1175" t="s">
        <v>2006</v>
      </c>
      <c r="F603" s="1175">
        <v>530005966</v>
      </c>
      <c r="G603" s="1175" t="s">
        <v>942</v>
      </c>
      <c r="H603" s="1178" t="s">
        <v>1795</v>
      </c>
      <c r="I603" s="1178"/>
      <c r="J603" s="1178"/>
      <c r="K603" s="1178"/>
    </row>
    <row r="604" spans="2:11">
      <c r="B604" s="1175">
        <v>750719239</v>
      </c>
      <c r="C604" s="1175" t="s">
        <v>943</v>
      </c>
      <c r="D604" s="1175" t="s">
        <v>2006</v>
      </c>
      <c r="F604" s="1175">
        <v>530005966</v>
      </c>
      <c r="G604" s="1175" t="s">
        <v>942</v>
      </c>
      <c r="H604" s="1178" t="s">
        <v>1795</v>
      </c>
      <c r="I604" s="1178"/>
      <c r="J604" s="1178"/>
      <c r="K604" s="1178"/>
    </row>
    <row r="605" spans="2:11">
      <c r="B605" s="1175">
        <v>750719239</v>
      </c>
      <c r="C605" s="1175" t="s">
        <v>943</v>
      </c>
      <c r="D605" s="1175" t="s">
        <v>2006</v>
      </c>
      <c r="F605" s="1175">
        <v>530007194</v>
      </c>
      <c r="G605" s="1175" t="s">
        <v>1364</v>
      </c>
      <c r="H605" s="1178" t="s">
        <v>1815</v>
      </c>
      <c r="I605" s="1178"/>
      <c r="J605" s="1178"/>
      <c r="K605" s="1178"/>
    </row>
    <row r="606" spans="2:11">
      <c r="B606" s="1175">
        <v>750719239</v>
      </c>
      <c r="C606" s="1175" t="s">
        <v>943</v>
      </c>
      <c r="D606" s="1175" t="s">
        <v>2006</v>
      </c>
      <c r="F606" s="1175">
        <v>530007418</v>
      </c>
      <c r="G606" s="1175" t="s">
        <v>1344</v>
      </c>
      <c r="H606" s="1178" t="s">
        <v>1797</v>
      </c>
      <c r="I606" s="1178"/>
      <c r="J606" s="1178"/>
      <c r="K606" s="1178"/>
    </row>
    <row r="607" spans="2:11">
      <c r="B607" s="1175">
        <v>750719239</v>
      </c>
      <c r="C607" s="1175" t="s">
        <v>943</v>
      </c>
      <c r="D607" s="1175" t="s">
        <v>2006</v>
      </c>
      <c r="F607" s="1175">
        <v>530007418</v>
      </c>
      <c r="G607" s="1175" t="s">
        <v>1344</v>
      </c>
      <c r="H607" s="1178" t="s">
        <v>1797</v>
      </c>
      <c r="I607" s="1178"/>
      <c r="J607" s="1178"/>
      <c r="K607" s="1178"/>
    </row>
    <row r="608" spans="2:11">
      <c r="B608" s="1175">
        <v>750719239</v>
      </c>
      <c r="C608" s="1175" t="s">
        <v>943</v>
      </c>
      <c r="D608" s="1175" t="s">
        <v>2006</v>
      </c>
      <c r="F608" s="1175">
        <v>530008432</v>
      </c>
      <c r="G608" s="1175" t="s">
        <v>1365</v>
      </c>
      <c r="H608" s="1178" t="s">
        <v>1816</v>
      </c>
      <c r="I608" s="1178"/>
      <c r="J608" s="1178"/>
      <c r="K608" s="1178"/>
    </row>
    <row r="609" spans="2:11">
      <c r="B609" s="1175">
        <v>750719239</v>
      </c>
      <c r="C609" s="1175" t="s">
        <v>943</v>
      </c>
      <c r="D609" s="1175" t="s">
        <v>2006</v>
      </c>
      <c r="F609" s="1175">
        <v>530008432</v>
      </c>
      <c r="G609" s="1175" t="s">
        <v>1365</v>
      </c>
      <c r="H609" s="1178" t="s">
        <v>1816</v>
      </c>
      <c r="I609" s="1178"/>
      <c r="J609" s="1178"/>
      <c r="K609" s="1178"/>
    </row>
    <row r="610" spans="2:11">
      <c r="B610" s="1175">
        <v>750719239</v>
      </c>
      <c r="C610" s="1175" t="s">
        <v>943</v>
      </c>
      <c r="D610" s="1175" t="s">
        <v>2006</v>
      </c>
      <c r="F610" s="1175">
        <v>530032820</v>
      </c>
      <c r="G610" s="1175" t="s">
        <v>1319</v>
      </c>
      <c r="H610" s="1178" t="s">
        <v>1798</v>
      </c>
      <c r="I610" s="1178"/>
      <c r="J610" s="1178"/>
      <c r="K610" s="1178"/>
    </row>
    <row r="611" spans="2:11">
      <c r="B611" s="1175">
        <v>750720245</v>
      </c>
      <c r="C611" s="1175" t="s">
        <v>1220</v>
      </c>
      <c r="D611" s="1175" t="s">
        <v>2007</v>
      </c>
      <c r="F611" s="1175">
        <v>530033034</v>
      </c>
      <c r="G611" s="1175" t="s">
        <v>1346</v>
      </c>
      <c r="H611" s="1178" t="s">
        <v>1801</v>
      </c>
      <c r="I611" s="1178"/>
      <c r="J611" s="1178"/>
      <c r="K611" s="1178"/>
    </row>
    <row r="612" spans="2:11">
      <c r="B612" s="1175">
        <v>750721334</v>
      </c>
      <c r="C612" s="1175" t="s">
        <v>1045</v>
      </c>
      <c r="D612" s="1175" t="s">
        <v>2037</v>
      </c>
      <c r="F612" s="1175">
        <v>530008424</v>
      </c>
      <c r="G612" s="1175" t="s">
        <v>1366</v>
      </c>
      <c r="H612" s="1178" t="s">
        <v>1817</v>
      </c>
      <c r="I612" s="1178"/>
      <c r="J612" s="1178"/>
      <c r="K612" s="1178"/>
    </row>
    <row r="613" spans="2:11">
      <c r="B613" s="1175">
        <v>750721334</v>
      </c>
      <c r="C613" s="1175" t="s">
        <v>1045</v>
      </c>
      <c r="D613" s="1175" t="s">
        <v>2037</v>
      </c>
      <c r="F613" s="1175">
        <v>530032473</v>
      </c>
      <c r="G613" s="1175" t="s">
        <v>1367</v>
      </c>
      <c r="H613" s="1178" t="s">
        <v>1817</v>
      </c>
      <c r="I613" s="1178"/>
      <c r="J613" s="1178"/>
      <c r="K613" s="1178"/>
    </row>
    <row r="614" spans="2:11">
      <c r="B614" s="1175">
        <v>930019484</v>
      </c>
      <c r="C614" s="1175" t="s">
        <v>1060</v>
      </c>
      <c r="D614" s="1175" t="s">
        <v>2052</v>
      </c>
      <c r="F614" s="1175">
        <v>530028612</v>
      </c>
      <c r="G614" s="1175" t="s">
        <v>1368</v>
      </c>
      <c r="H614" s="1178" t="s">
        <v>1818</v>
      </c>
      <c r="I614" s="1178"/>
      <c r="J614" s="1178"/>
      <c r="K614" s="1178"/>
    </row>
    <row r="615" spans="2:11">
      <c r="B615" s="1175">
        <v>370002370</v>
      </c>
      <c r="C615" s="1175" t="s">
        <v>933</v>
      </c>
      <c r="D615" s="1175" t="s">
        <v>2053</v>
      </c>
      <c r="F615" s="1175">
        <v>720002278</v>
      </c>
      <c r="G615" s="1175" t="s">
        <v>1369</v>
      </c>
      <c r="H615" s="1178" t="s">
        <v>1819</v>
      </c>
      <c r="I615" s="1178"/>
      <c r="J615" s="1178"/>
      <c r="K615" s="1178"/>
    </row>
    <row r="616" spans="2:11">
      <c r="B616" s="1175">
        <v>370002370</v>
      </c>
      <c r="C616" s="1175" t="s">
        <v>933</v>
      </c>
      <c r="D616" s="1175" t="s">
        <v>2053</v>
      </c>
      <c r="F616" s="1175">
        <v>720017227</v>
      </c>
      <c r="G616" s="1175" t="s">
        <v>1370</v>
      </c>
      <c r="H616" s="1178" t="s">
        <v>1819</v>
      </c>
      <c r="I616" s="1178"/>
      <c r="J616" s="1178"/>
      <c r="K616" s="1178"/>
    </row>
    <row r="617" spans="2:11">
      <c r="B617" s="1175">
        <v>490020310</v>
      </c>
      <c r="C617" s="1175" t="s">
        <v>2091</v>
      </c>
      <c r="D617" s="1175" t="s">
        <v>2002</v>
      </c>
      <c r="F617" s="1175">
        <v>720000272</v>
      </c>
      <c r="G617" s="1175" t="s">
        <v>1371</v>
      </c>
      <c r="H617" s="1178" t="s">
        <v>1820</v>
      </c>
      <c r="I617" s="1178"/>
      <c r="J617" s="1178"/>
      <c r="K617" s="1178"/>
    </row>
    <row r="618" spans="2:11">
      <c r="B618" s="1175">
        <v>490020310</v>
      </c>
      <c r="C618" s="1175" t="s">
        <v>2091</v>
      </c>
      <c r="D618" s="1175" t="s">
        <v>2002</v>
      </c>
      <c r="F618" s="1175">
        <v>720006329</v>
      </c>
      <c r="G618" s="1175" t="s">
        <v>1372</v>
      </c>
      <c r="H618" s="1178" t="s">
        <v>1821</v>
      </c>
      <c r="I618" s="1178"/>
      <c r="J618" s="1178"/>
      <c r="K618" s="1178"/>
    </row>
    <row r="619" spans="2:11">
      <c r="B619" s="1175">
        <v>490020310</v>
      </c>
      <c r="C619" s="1175" t="s">
        <v>2091</v>
      </c>
      <c r="D619" s="1175" t="s">
        <v>2002</v>
      </c>
      <c r="F619" s="1175">
        <v>720007129</v>
      </c>
      <c r="G619" s="1175" t="s">
        <v>1373</v>
      </c>
      <c r="H619" s="1178" t="s">
        <v>1822</v>
      </c>
      <c r="I619" s="1178"/>
      <c r="J619" s="1178"/>
      <c r="K619" s="1178"/>
    </row>
    <row r="620" spans="2:11">
      <c r="B620" s="1175">
        <v>490020310</v>
      </c>
      <c r="C620" s="1175" t="s">
        <v>2091</v>
      </c>
      <c r="D620" s="1175" t="s">
        <v>2002</v>
      </c>
      <c r="F620" s="1175">
        <v>720020841</v>
      </c>
      <c r="G620" s="1175" t="s">
        <v>1374</v>
      </c>
      <c r="H620" s="1178" t="s">
        <v>1823</v>
      </c>
      <c r="I620" s="1178"/>
      <c r="J620" s="1178"/>
      <c r="K620" s="1178"/>
    </row>
    <row r="621" spans="2:11">
      <c r="B621" s="1175">
        <v>490020310</v>
      </c>
      <c r="C621" s="1175" t="s">
        <v>2091</v>
      </c>
      <c r="D621" s="1175" t="s">
        <v>2002</v>
      </c>
      <c r="F621" s="1175">
        <v>720020841</v>
      </c>
      <c r="G621" s="1175" t="s">
        <v>1374</v>
      </c>
      <c r="H621" s="1178" t="s">
        <v>1823</v>
      </c>
      <c r="I621" s="1178"/>
      <c r="J621" s="1178"/>
      <c r="K621" s="1178"/>
    </row>
    <row r="622" spans="2:11">
      <c r="B622" s="1175">
        <v>490020310</v>
      </c>
      <c r="C622" s="1175" t="s">
        <v>2091</v>
      </c>
      <c r="D622" s="1175" t="s">
        <v>2002</v>
      </c>
      <c r="F622" s="1175">
        <v>720021039</v>
      </c>
      <c r="G622" s="1175" t="s">
        <v>1375</v>
      </c>
      <c r="H622" s="1178" t="s">
        <v>1824</v>
      </c>
      <c r="I622" s="1178"/>
      <c r="J622" s="1178"/>
      <c r="K622" s="1178"/>
    </row>
    <row r="623" spans="2:11">
      <c r="B623" s="1175">
        <v>610000754</v>
      </c>
      <c r="C623" s="1175" t="s">
        <v>1032</v>
      </c>
      <c r="D623" s="1175" t="s">
        <v>2003</v>
      </c>
      <c r="F623" s="1175">
        <v>720014703</v>
      </c>
      <c r="G623" s="1175" t="s">
        <v>1376</v>
      </c>
      <c r="H623" s="1178" t="s">
        <v>1825</v>
      </c>
      <c r="I623" s="1178"/>
      <c r="J623" s="1178"/>
      <c r="K623" s="1178"/>
    </row>
    <row r="624" spans="2:11">
      <c r="B624" s="1175">
        <v>720000058</v>
      </c>
      <c r="C624" s="1175" t="s">
        <v>1046</v>
      </c>
      <c r="D624" s="1175" t="s">
        <v>2054</v>
      </c>
      <c r="F624" s="1175">
        <v>720007509</v>
      </c>
      <c r="G624" s="1175" t="s">
        <v>1377</v>
      </c>
      <c r="H624" s="1178" t="s">
        <v>1826</v>
      </c>
      <c r="I624" s="1178"/>
      <c r="J624" s="1178"/>
      <c r="K624" s="1178"/>
    </row>
    <row r="625" spans="2:11">
      <c r="B625" s="1175">
        <v>720000058</v>
      </c>
      <c r="C625" s="1175" t="s">
        <v>1046</v>
      </c>
      <c r="D625" s="1175" t="s">
        <v>2054</v>
      </c>
      <c r="F625" s="1175">
        <v>720007558</v>
      </c>
      <c r="G625" s="1175" t="s">
        <v>1378</v>
      </c>
      <c r="H625" s="1178" t="s">
        <v>1827</v>
      </c>
      <c r="I625" s="1178"/>
      <c r="J625" s="1178"/>
      <c r="K625" s="1178"/>
    </row>
    <row r="626" spans="2:11">
      <c r="B626" s="1175">
        <v>720000140</v>
      </c>
      <c r="C626" s="1175" t="s">
        <v>1040</v>
      </c>
      <c r="D626" s="1175" t="s">
        <v>2055</v>
      </c>
      <c r="F626" s="1175">
        <v>720018019</v>
      </c>
      <c r="G626" s="1175" t="s">
        <v>1379</v>
      </c>
      <c r="H626" s="1178" t="s">
        <v>1828</v>
      </c>
      <c r="I626" s="1178"/>
      <c r="J626" s="1178"/>
      <c r="K626" s="1178"/>
    </row>
    <row r="627" spans="2:11">
      <c r="B627" s="1175">
        <v>720000454</v>
      </c>
      <c r="C627" s="1175" t="s">
        <v>1380</v>
      </c>
      <c r="D627" s="1175" t="s">
        <v>2056</v>
      </c>
      <c r="F627" s="1175">
        <v>720008473</v>
      </c>
      <c r="G627" s="1175" t="s">
        <v>949</v>
      </c>
      <c r="H627" s="1178" t="s">
        <v>1829</v>
      </c>
      <c r="I627" s="1178"/>
      <c r="J627" s="1178"/>
      <c r="K627" s="1178"/>
    </row>
    <row r="628" spans="2:11">
      <c r="B628" s="1175">
        <v>720000454</v>
      </c>
      <c r="C628" s="1175" t="s">
        <v>1380</v>
      </c>
      <c r="D628" s="1175" t="s">
        <v>2056</v>
      </c>
      <c r="F628" s="1175">
        <v>720008473</v>
      </c>
      <c r="G628" s="1175" t="s">
        <v>949</v>
      </c>
      <c r="H628" s="1178" t="s">
        <v>1829</v>
      </c>
      <c r="I628" s="1178"/>
      <c r="J628" s="1178"/>
      <c r="K628" s="1178"/>
    </row>
    <row r="629" spans="2:11">
      <c r="B629" s="1175">
        <v>720001445</v>
      </c>
      <c r="C629" s="1175" t="s">
        <v>1381</v>
      </c>
      <c r="D629" s="1175" t="s">
        <v>2057</v>
      </c>
      <c r="F629" s="1175">
        <v>720017896</v>
      </c>
      <c r="G629" s="1175" t="s">
        <v>1382</v>
      </c>
      <c r="H629" s="1178" t="s">
        <v>1830</v>
      </c>
      <c r="I629" s="1178"/>
      <c r="J629" s="1178"/>
      <c r="K629" s="1178"/>
    </row>
    <row r="630" spans="2:11">
      <c r="B630" s="1175">
        <v>720001445</v>
      </c>
      <c r="C630" s="1175" t="s">
        <v>1381</v>
      </c>
      <c r="D630" s="1175" t="s">
        <v>2057</v>
      </c>
      <c r="F630" s="1175">
        <v>720017896</v>
      </c>
      <c r="G630" s="1175" t="s">
        <v>1382</v>
      </c>
      <c r="H630" s="1178" t="s">
        <v>1830</v>
      </c>
      <c r="I630" s="1178"/>
      <c r="J630" s="1178"/>
      <c r="K630" s="1178"/>
    </row>
    <row r="631" spans="2:11">
      <c r="B631" s="1175">
        <v>720001445</v>
      </c>
      <c r="C631" s="1175" t="s">
        <v>1381</v>
      </c>
      <c r="D631" s="1175" t="s">
        <v>2057</v>
      </c>
      <c r="F631" s="1175">
        <v>720017896</v>
      </c>
      <c r="G631" s="1175" t="s">
        <v>1382</v>
      </c>
      <c r="H631" s="1178" t="s">
        <v>1830</v>
      </c>
      <c r="I631" s="1178"/>
      <c r="J631" s="1178"/>
      <c r="K631" s="1178"/>
    </row>
    <row r="632" spans="2:11">
      <c r="B632" s="1175">
        <v>720006022</v>
      </c>
      <c r="C632" s="1175" t="s">
        <v>1042</v>
      </c>
      <c r="D632" s="1175" t="s">
        <v>2058</v>
      </c>
      <c r="F632" s="1175">
        <v>720015452</v>
      </c>
      <c r="G632" s="1175" t="s">
        <v>1383</v>
      </c>
      <c r="H632" s="1178" t="s">
        <v>1831</v>
      </c>
      <c r="I632" s="1178"/>
      <c r="J632" s="1178"/>
      <c r="K632" s="1178"/>
    </row>
    <row r="633" spans="2:11">
      <c r="B633" s="1175">
        <v>720007418</v>
      </c>
      <c r="C633" s="1175" t="s">
        <v>958</v>
      </c>
      <c r="D633" s="1175" t="s">
        <v>2059</v>
      </c>
      <c r="F633" s="1175">
        <v>720017680</v>
      </c>
      <c r="G633" s="1175" t="s">
        <v>1384</v>
      </c>
      <c r="H633" s="1178" t="s">
        <v>1832</v>
      </c>
      <c r="I633" s="1178"/>
      <c r="J633" s="1178"/>
      <c r="K633" s="1178"/>
    </row>
    <row r="634" spans="2:11">
      <c r="B634" s="1175">
        <v>720007418</v>
      </c>
      <c r="C634" s="1175" t="s">
        <v>958</v>
      </c>
      <c r="D634" s="1175" t="s">
        <v>2059</v>
      </c>
      <c r="F634" s="1175">
        <v>720017797</v>
      </c>
      <c r="G634" s="1175" t="s">
        <v>1385</v>
      </c>
      <c r="H634" s="1178" t="s">
        <v>1833</v>
      </c>
      <c r="I634" s="1178"/>
      <c r="J634" s="1178"/>
      <c r="K634" s="1178"/>
    </row>
    <row r="635" spans="2:11">
      <c r="B635" s="1175">
        <v>720007418</v>
      </c>
      <c r="C635" s="1175" t="s">
        <v>958</v>
      </c>
      <c r="D635" s="1175" t="s">
        <v>2059</v>
      </c>
      <c r="F635" s="1175">
        <v>720018399</v>
      </c>
      <c r="G635" s="1175" t="s">
        <v>1012</v>
      </c>
      <c r="H635" s="1178" t="s">
        <v>1834</v>
      </c>
      <c r="I635" s="1178"/>
      <c r="J635" s="1178"/>
      <c r="K635" s="1178"/>
    </row>
    <row r="636" spans="2:11">
      <c r="B636" s="1175">
        <v>720007418</v>
      </c>
      <c r="C636" s="1175" t="s">
        <v>958</v>
      </c>
      <c r="D636" s="1175" t="s">
        <v>2059</v>
      </c>
      <c r="F636" s="1175">
        <v>720018399</v>
      </c>
      <c r="G636" s="1175" t="s">
        <v>1012</v>
      </c>
      <c r="H636" s="1178" t="s">
        <v>1834</v>
      </c>
      <c r="I636" s="1178"/>
      <c r="J636" s="1178"/>
      <c r="K636" s="1178"/>
    </row>
    <row r="637" spans="2:11">
      <c r="B637" s="1175">
        <v>720008390</v>
      </c>
      <c r="C637" s="1175" t="s">
        <v>1386</v>
      </c>
      <c r="D637" s="1175" t="s">
        <v>2060</v>
      </c>
      <c r="F637" s="1175">
        <v>720017185</v>
      </c>
      <c r="G637" s="1175" t="s">
        <v>1387</v>
      </c>
      <c r="H637" s="1178" t="s">
        <v>1835</v>
      </c>
      <c r="I637" s="1178"/>
      <c r="J637" s="1178"/>
      <c r="K637" s="1178"/>
    </row>
    <row r="638" spans="2:11">
      <c r="B638" s="1175">
        <v>720008390</v>
      </c>
      <c r="C638" s="1175" t="s">
        <v>1386</v>
      </c>
      <c r="D638" s="1175" t="s">
        <v>2060</v>
      </c>
      <c r="F638" s="1175">
        <v>720017185</v>
      </c>
      <c r="G638" s="1175" t="s">
        <v>1387</v>
      </c>
      <c r="H638" s="1178" t="s">
        <v>1835</v>
      </c>
      <c r="I638" s="1178"/>
      <c r="J638" s="1178"/>
      <c r="K638" s="1178"/>
    </row>
    <row r="639" spans="2:11">
      <c r="B639" s="1175">
        <v>720008390</v>
      </c>
      <c r="C639" s="1175" t="s">
        <v>1386</v>
      </c>
      <c r="D639" s="1175" t="s">
        <v>2060</v>
      </c>
      <c r="F639" s="1175">
        <v>720017185</v>
      </c>
      <c r="G639" s="1175" t="s">
        <v>1387</v>
      </c>
      <c r="H639" s="1178" t="s">
        <v>1835</v>
      </c>
      <c r="I639" s="1178"/>
      <c r="J639" s="1178"/>
      <c r="K639" s="1178"/>
    </row>
    <row r="640" spans="2:11">
      <c r="B640" s="1175">
        <v>720008762</v>
      </c>
      <c r="C640" s="1175" t="s">
        <v>1034</v>
      </c>
      <c r="D640" s="1175" t="s">
        <v>2045</v>
      </c>
      <c r="F640" s="1175">
        <v>720000322</v>
      </c>
      <c r="G640" s="1175" t="s">
        <v>1388</v>
      </c>
      <c r="H640" s="1178" t="s">
        <v>1836</v>
      </c>
      <c r="I640" s="1178"/>
      <c r="J640" s="1178"/>
      <c r="K640" s="1178"/>
    </row>
    <row r="641" spans="2:11">
      <c r="B641" s="1175">
        <v>720008762</v>
      </c>
      <c r="C641" s="1175" t="s">
        <v>1034</v>
      </c>
      <c r="D641" s="1175" t="s">
        <v>2045</v>
      </c>
      <c r="F641" s="1175">
        <v>720006733</v>
      </c>
      <c r="G641" s="1175" t="s">
        <v>1004</v>
      </c>
      <c r="H641" s="1178" t="s">
        <v>1837</v>
      </c>
      <c r="I641" s="1178"/>
      <c r="J641" s="1178"/>
      <c r="K641" s="1178"/>
    </row>
    <row r="642" spans="2:11">
      <c r="B642" s="1175">
        <v>720008762</v>
      </c>
      <c r="C642" s="1175" t="s">
        <v>1034</v>
      </c>
      <c r="D642" s="1175" t="s">
        <v>2045</v>
      </c>
      <c r="F642" s="1175">
        <v>720014653</v>
      </c>
      <c r="G642" s="1175" t="s">
        <v>1389</v>
      </c>
      <c r="H642" s="1178" t="s">
        <v>1838</v>
      </c>
      <c r="I642" s="1178"/>
      <c r="J642" s="1178"/>
      <c r="K642" s="1178"/>
    </row>
    <row r="643" spans="2:11">
      <c r="B643" s="1175">
        <v>720008762</v>
      </c>
      <c r="C643" s="1175" t="s">
        <v>1034</v>
      </c>
      <c r="D643" s="1175" t="s">
        <v>2045</v>
      </c>
      <c r="F643" s="1175">
        <v>720014661</v>
      </c>
      <c r="G643" s="1175" t="s">
        <v>1390</v>
      </c>
      <c r="H643" s="1178" t="s">
        <v>1838</v>
      </c>
      <c r="I643" s="1178"/>
      <c r="J643" s="1178"/>
      <c r="K643" s="1178"/>
    </row>
    <row r="644" spans="2:11">
      <c r="B644" s="1175">
        <v>720008762</v>
      </c>
      <c r="C644" s="1175" t="s">
        <v>1034</v>
      </c>
      <c r="D644" s="1175" t="s">
        <v>2045</v>
      </c>
      <c r="F644" s="1175">
        <v>720015346</v>
      </c>
      <c r="G644" s="1175" t="s">
        <v>1001</v>
      </c>
      <c r="H644" s="1178" t="s">
        <v>1839</v>
      </c>
      <c r="I644" s="1178"/>
      <c r="J644" s="1178"/>
      <c r="K644" s="1178"/>
    </row>
    <row r="645" spans="2:11">
      <c r="B645" s="1175">
        <v>720008762</v>
      </c>
      <c r="C645" s="1175" t="s">
        <v>1034</v>
      </c>
      <c r="D645" s="1175" t="s">
        <v>2045</v>
      </c>
      <c r="F645" s="1175">
        <v>720016898</v>
      </c>
      <c r="G645" s="1175" t="s">
        <v>1391</v>
      </c>
      <c r="H645" s="1178" t="s">
        <v>1840</v>
      </c>
      <c r="I645" s="1178"/>
      <c r="J645" s="1178"/>
      <c r="K645" s="1178"/>
    </row>
    <row r="646" spans="2:11">
      <c r="B646" s="1175">
        <v>720008762</v>
      </c>
      <c r="C646" s="1175" t="s">
        <v>1034</v>
      </c>
      <c r="D646" s="1175" t="s">
        <v>2045</v>
      </c>
      <c r="F646" s="1175">
        <v>720016898</v>
      </c>
      <c r="G646" s="1175" t="s">
        <v>1391</v>
      </c>
      <c r="H646" s="1178" t="s">
        <v>1840</v>
      </c>
      <c r="I646" s="1178"/>
      <c r="J646" s="1178"/>
      <c r="K646" s="1178"/>
    </row>
    <row r="647" spans="2:11">
      <c r="B647" s="1175">
        <v>720008770</v>
      </c>
      <c r="C647" s="1175" t="s">
        <v>1030</v>
      </c>
      <c r="D647" s="1175" t="s">
        <v>2061</v>
      </c>
      <c r="F647" s="1175">
        <v>720000371</v>
      </c>
      <c r="G647" s="1175" t="s">
        <v>980</v>
      </c>
      <c r="H647" s="1178" t="s">
        <v>1841</v>
      </c>
      <c r="I647" s="1178"/>
      <c r="J647" s="1178"/>
      <c r="K647" s="1178"/>
    </row>
    <row r="648" spans="2:11">
      <c r="B648" s="1175">
        <v>720008770</v>
      </c>
      <c r="C648" s="1175" t="s">
        <v>1030</v>
      </c>
      <c r="D648" s="1175" t="s">
        <v>2061</v>
      </c>
      <c r="F648" s="1175">
        <v>720000371</v>
      </c>
      <c r="G648" s="1175" t="s">
        <v>980</v>
      </c>
      <c r="H648" s="1178" t="s">
        <v>1841</v>
      </c>
      <c r="I648" s="1178"/>
      <c r="J648" s="1178"/>
      <c r="K648" s="1178"/>
    </row>
    <row r="649" spans="2:11">
      <c r="B649" s="1175">
        <v>720008770</v>
      </c>
      <c r="C649" s="1175" t="s">
        <v>1030</v>
      </c>
      <c r="D649" s="1175" t="s">
        <v>2061</v>
      </c>
      <c r="F649" s="1175">
        <v>720000371</v>
      </c>
      <c r="G649" s="1175" t="s">
        <v>980</v>
      </c>
      <c r="H649" s="1178" t="s">
        <v>1841</v>
      </c>
      <c r="I649" s="1178"/>
      <c r="J649" s="1178"/>
      <c r="K649" s="1178"/>
    </row>
    <row r="650" spans="2:11">
      <c r="B650" s="1175">
        <v>720008770</v>
      </c>
      <c r="C650" s="1175" t="s">
        <v>1030</v>
      </c>
      <c r="D650" s="1175" t="s">
        <v>2061</v>
      </c>
      <c r="F650" s="1175">
        <v>720000371</v>
      </c>
      <c r="G650" s="1175" t="s">
        <v>980</v>
      </c>
      <c r="H650" s="1178" t="s">
        <v>1841</v>
      </c>
      <c r="I650" s="1178"/>
      <c r="J650" s="1178"/>
      <c r="K650" s="1178"/>
    </row>
    <row r="651" spans="2:11">
      <c r="B651" s="1175">
        <v>720008770</v>
      </c>
      <c r="C651" s="1175" t="s">
        <v>1030</v>
      </c>
      <c r="D651" s="1175" t="s">
        <v>2061</v>
      </c>
      <c r="F651" s="1175">
        <v>720008382</v>
      </c>
      <c r="G651" s="1175" t="s">
        <v>1392</v>
      </c>
      <c r="H651" s="1178" t="s">
        <v>1842</v>
      </c>
      <c r="I651" s="1178"/>
      <c r="J651" s="1178"/>
      <c r="K651" s="1178"/>
    </row>
    <row r="652" spans="2:11">
      <c r="B652" s="1175">
        <v>490020310</v>
      </c>
      <c r="C652" s="1175" t="s">
        <v>2091</v>
      </c>
      <c r="D652" s="1175" t="s">
        <v>2002</v>
      </c>
      <c r="F652" s="1175">
        <v>720007129</v>
      </c>
      <c r="G652" s="1175" t="s">
        <v>1373</v>
      </c>
      <c r="H652" s="1178" t="s">
        <v>1822</v>
      </c>
      <c r="I652" s="1178"/>
      <c r="J652" s="1178"/>
      <c r="K652" s="1178"/>
    </row>
    <row r="653" spans="2:11">
      <c r="B653" s="1175">
        <v>490020310</v>
      </c>
      <c r="C653" s="1175" t="s">
        <v>2091</v>
      </c>
      <c r="D653" s="1175" t="s">
        <v>2002</v>
      </c>
      <c r="F653" s="1175">
        <v>720018852</v>
      </c>
      <c r="G653" s="1175" t="s">
        <v>2092</v>
      </c>
      <c r="H653" s="1178" t="s">
        <v>1843</v>
      </c>
      <c r="I653" s="1178"/>
      <c r="J653" s="1178"/>
      <c r="K653" s="1178"/>
    </row>
    <row r="654" spans="2:11">
      <c r="B654" s="1175">
        <v>490020310</v>
      </c>
      <c r="C654" s="1175" t="s">
        <v>2091</v>
      </c>
      <c r="D654" s="1175" t="s">
        <v>2002</v>
      </c>
      <c r="F654" s="1175">
        <v>720018886</v>
      </c>
      <c r="G654" s="1175" t="s">
        <v>2096</v>
      </c>
      <c r="H654" s="1178" t="s">
        <v>1844</v>
      </c>
      <c r="I654" s="1178"/>
      <c r="J654" s="1178"/>
      <c r="K654" s="1178"/>
    </row>
    <row r="655" spans="2:11">
      <c r="B655" s="1175">
        <v>490020310</v>
      </c>
      <c r="C655" s="1175" t="s">
        <v>2091</v>
      </c>
      <c r="D655" s="1175" t="s">
        <v>2002</v>
      </c>
      <c r="F655" s="1175">
        <v>720018886</v>
      </c>
      <c r="G655" s="1175" t="s">
        <v>2096</v>
      </c>
      <c r="H655" s="1178" t="s">
        <v>1844</v>
      </c>
      <c r="I655" s="1178"/>
      <c r="J655" s="1178"/>
      <c r="K655" s="1178"/>
    </row>
    <row r="656" spans="2:11">
      <c r="B656" s="1175">
        <v>490020310</v>
      </c>
      <c r="C656" s="1175" t="s">
        <v>2091</v>
      </c>
      <c r="D656" s="1175" t="s">
        <v>2002</v>
      </c>
      <c r="F656" s="1175">
        <v>720020833</v>
      </c>
      <c r="G656" s="1175" t="s">
        <v>1393</v>
      </c>
      <c r="H656" s="1178" t="s">
        <v>1845</v>
      </c>
      <c r="I656" s="1178"/>
      <c r="J656" s="1178"/>
      <c r="K656" s="1178"/>
    </row>
    <row r="657" spans="2:29">
      <c r="B657" s="1175">
        <v>720000058</v>
      </c>
      <c r="C657" s="1175" t="s">
        <v>1046</v>
      </c>
      <c r="D657" s="1175" t="s">
        <v>2054</v>
      </c>
      <c r="F657" s="1175">
        <v>720007509</v>
      </c>
      <c r="G657" s="1175" t="s">
        <v>1377</v>
      </c>
      <c r="H657" s="1178" t="s">
        <v>1826</v>
      </c>
      <c r="I657" s="1178"/>
      <c r="J657" s="1178"/>
      <c r="K657" s="1178"/>
    </row>
    <row r="658" spans="2:29">
      <c r="B658" s="1175">
        <v>720000058</v>
      </c>
      <c r="C658" s="1175" t="s">
        <v>1046</v>
      </c>
      <c r="D658" s="1175" t="s">
        <v>2054</v>
      </c>
      <c r="F658" s="1175">
        <v>720007509</v>
      </c>
      <c r="G658" s="1175" t="s">
        <v>1377</v>
      </c>
      <c r="H658" s="1178" t="s">
        <v>1826</v>
      </c>
      <c r="I658" s="1178"/>
      <c r="J658" s="1178"/>
      <c r="K658" s="1178"/>
    </row>
    <row r="659" spans="2:29">
      <c r="B659" s="1175">
        <v>720000058</v>
      </c>
      <c r="C659" s="1175" t="s">
        <v>1046</v>
      </c>
      <c r="D659" s="1175" t="s">
        <v>2054</v>
      </c>
      <c r="F659" s="1175">
        <v>720007558</v>
      </c>
      <c r="G659" s="1175" t="s">
        <v>1378</v>
      </c>
      <c r="H659" s="1178" t="s">
        <v>1827</v>
      </c>
      <c r="I659" s="1178"/>
      <c r="J659" s="1178"/>
      <c r="K659" s="1178"/>
    </row>
    <row r="660" spans="2:29">
      <c r="B660" s="1175">
        <v>720000058</v>
      </c>
      <c r="C660" s="1175" t="s">
        <v>1046</v>
      </c>
      <c r="D660" s="1175" t="s">
        <v>2054</v>
      </c>
      <c r="F660" s="1175">
        <v>720007558</v>
      </c>
      <c r="G660" s="1175" t="s">
        <v>1378</v>
      </c>
      <c r="H660" s="1178" t="s">
        <v>1827</v>
      </c>
      <c r="I660" s="1178"/>
      <c r="J660" s="1178"/>
      <c r="K660" s="1178"/>
      <c r="N660" s="1175"/>
      <c r="O660" s="1175"/>
      <c r="P660" s="1175"/>
      <c r="Q660" s="1175"/>
      <c r="R660" s="1175"/>
      <c r="S660" s="1175"/>
      <c r="T660" s="1175"/>
      <c r="U660" s="1175"/>
      <c r="V660" s="1175"/>
      <c r="W660" s="1175"/>
      <c r="X660" s="1175"/>
      <c r="Y660" s="1175"/>
      <c r="Z660" s="1175"/>
      <c r="AA660" s="1176"/>
      <c r="AB660" s="1176"/>
      <c r="AC660" s="1176"/>
    </row>
    <row r="661" spans="2:29">
      <c r="B661" s="1175">
        <v>720000454</v>
      </c>
      <c r="C661" s="1175" t="s">
        <v>1380</v>
      </c>
      <c r="D661" s="1175" t="s">
        <v>2056</v>
      </c>
      <c r="F661" s="1175">
        <v>720008473</v>
      </c>
      <c r="G661" s="1175" t="s">
        <v>949</v>
      </c>
      <c r="H661" s="1178" t="s">
        <v>1829</v>
      </c>
      <c r="I661" s="1178"/>
      <c r="J661" s="1178"/>
      <c r="K661" s="1178"/>
      <c r="P661" s="1175"/>
      <c r="Q661" s="1175"/>
      <c r="R661" s="1175"/>
      <c r="S661" s="1175"/>
      <c r="T661" s="1175"/>
      <c r="U661" s="1175"/>
      <c r="V661" s="1175"/>
      <c r="W661" s="1175"/>
      <c r="X661" s="1175"/>
      <c r="Y661" s="1175"/>
      <c r="Z661" s="1175"/>
      <c r="AA661" s="1176"/>
      <c r="AB661" s="1176"/>
      <c r="AC661" s="1176"/>
    </row>
    <row r="662" spans="2:29">
      <c r="B662" s="1175">
        <v>720000454</v>
      </c>
      <c r="C662" s="1175" t="s">
        <v>1380</v>
      </c>
      <c r="D662" s="1175" t="s">
        <v>2056</v>
      </c>
      <c r="F662" s="1175">
        <v>720014430</v>
      </c>
      <c r="G662" s="1175" t="s">
        <v>1394</v>
      </c>
      <c r="H662" s="1178" t="s">
        <v>1846</v>
      </c>
      <c r="I662" s="1178"/>
      <c r="J662" s="1178"/>
      <c r="K662" s="1178"/>
      <c r="P662" s="1175"/>
      <c r="Q662" s="1175"/>
      <c r="R662" s="1175"/>
      <c r="S662" s="1175"/>
      <c r="T662" s="1175"/>
      <c r="U662" s="1175"/>
      <c r="V662" s="1175"/>
      <c r="W662" s="1175"/>
      <c r="X662" s="1175"/>
      <c r="Y662" s="1175"/>
      <c r="Z662" s="1175"/>
      <c r="AA662" s="1176"/>
      <c r="AB662" s="1176"/>
      <c r="AC662" s="1176"/>
    </row>
    <row r="663" spans="2:29">
      <c r="B663" s="1175">
        <v>720000454</v>
      </c>
      <c r="C663" s="1175" t="s">
        <v>1380</v>
      </c>
      <c r="D663" s="1175" t="s">
        <v>2056</v>
      </c>
      <c r="F663" s="1175">
        <v>720017334</v>
      </c>
      <c r="G663" s="1175" t="s">
        <v>1395</v>
      </c>
      <c r="H663" s="1178" t="s">
        <v>1846</v>
      </c>
      <c r="I663" s="1178"/>
      <c r="J663" s="1178"/>
      <c r="K663" s="1178"/>
      <c r="P663" s="1175"/>
      <c r="Q663" s="1175"/>
      <c r="R663" s="1175"/>
      <c r="S663" s="1175"/>
      <c r="T663" s="1175"/>
      <c r="U663" s="1175"/>
      <c r="V663" s="1175"/>
      <c r="W663" s="1175"/>
      <c r="X663" s="1175"/>
      <c r="Y663" s="1175"/>
      <c r="Z663" s="1175"/>
      <c r="AA663" s="1176"/>
      <c r="AB663" s="1176"/>
      <c r="AC663" s="1176"/>
    </row>
    <row r="664" spans="2:29">
      <c r="B664" s="1175">
        <v>720000728</v>
      </c>
      <c r="C664" s="1175" t="s">
        <v>1043</v>
      </c>
      <c r="D664" s="1175" t="s">
        <v>2062</v>
      </c>
      <c r="F664" s="1175">
        <v>720012228</v>
      </c>
      <c r="G664" s="1175" t="s">
        <v>1396</v>
      </c>
      <c r="H664" s="1178" t="s">
        <v>1847</v>
      </c>
      <c r="I664" s="1178"/>
      <c r="J664" s="1178"/>
      <c r="K664" s="1178"/>
      <c r="P664" s="1175"/>
      <c r="Q664" s="1175"/>
      <c r="R664" s="1175"/>
      <c r="S664" s="1175"/>
      <c r="T664" s="1175"/>
      <c r="U664" s="1175"/>
      <c r="V664" s="1175"/>
      <c r="W664" s="1175"/>
      <c r="X664" s="1175"/>
      <c r="Y664" s="1175"/>
      <c r="Z664" s="1175"/>
      <c r="AA664" s="1176"/>
      <c r="AB664" s="1176"/>
      <c r="AC664" s="1176"/>
    </row>
    <row r="665" spans="2:29">
      <c r="B665" s="1175">
        <v>720006022</v>
      </c>
      <c r="C665" s="1175" t="s">
        <v>1042</v>
      </c>
      <c r="D665" s="1175" t="s">
        <v>2058</v>
      </c>
      <c r="F665" s="1175">
        <v>720015460</v>
      </c>
      <c r="G665" s="1175" t="s">
        <v>1397</v>
      </c>
      <c r="H665" s="1178" t="s">
        <v>1848</v>
      </c>
      <c r="I665" s="1178"/>
      <c r="J665" s="1178"/>
      <c r="K665" s="1178"/>
      <c r="P665" s="1175"/>
      <c r="Q665" s="1175"/>
      <c r="R665" s="1175"/>
      <c r="S665" s="1175"/>
      <c r="T665" s="1175"/>
      <c r="U665" s="1175"/>
      <c r="V665" s="1175"/>
      <c r="W665" s="1175"/>
      <c r="X665" s="1175"/>
      <c r="Y665" s="1175"/>
      <c r="Z665" s="1175"/>
      <c r="AA665" s="1176"/>
      <c r="AB665" s="1176"/>
      <c r="AC665" s="1176"/>
    </row>
    <row r="666" spans="2:29">
      <c r="B666" s="1175">
        <v>720007418</v>
      </c>
      <c r="C666" s="1175" t="s">
        <v>958</v>
      </c>
      <c r="D666" s="1175" t="s">
        <v>2059</v>
      </c>
      <c r="F666" s="1175">
        <v>720000355</v>
      </c>
      <c r="G666" s="1175" t="s">
        <v>957</v>
      </c>
      <c r="H666" s="1178" t="s">
        <v>1832</v>
      </c>
      <c r="I666" s="1178"/>
      <c r="J666" s="1178"/>
      <c r="K666" s="1178"/>
      <c r="P666" s="1175"/>
      <c r="Q666" s="1175"/>
      <c r="R666" s="1175"/>
      <c r="S666" s="1175"/>
      <c r="T666" s="1175"/>
      <c r="U666" s="1175"/>
      <c r="V666" s="1175"/>
      <c r="W666" s="1175"/>
      <c r="X666" s="1175"/>
      <c r="Y666" s="1175"/>
      <c r="Z666" s="1175"/>
      <c r="AA666" s="1176"/>
      <c r="AB666" s="1176"/>
      <c r="AC666" s="1176"/>
    </row>
    <row r="667" spans="2:29">
      <c r="B667" s="1175">
        <v>720007418</v>
      </c>
      <c r="C667" s="1175" t="s">
        <v>958</v>
      </c>
      <c r="D667" s="1175" t="s">
        <v>2059</v>
      </c>
      <c r="F667" s="1175">
        <v>720000355</v>
      </c>
      <c r="G667" s="1175" t="s">
        <v>957</v>
      </c>
      <c r="H667" s="1178" t="s">
        <v>1832</v>
      </c>
      <c r="I667" s="1178"/>
      <c r="J667" s="1178"/>
      <c r="K667" s="1178"/>
      <c r="P667" s="1175"/>
      <c r="Q667" s="1175"/>
      <c r="R667" s="1175"/>
      <c r="S667" s="1175"/>
      <c r="T667" s="1175"/>
      <c r="U667" s="1175"/>
      <c r="V667" s="1175"/>
      <c r="W667" s="1175"/>
      <c r="X667" s="1175"/>
      <c r="Y667" s="1175"/>
      <c r="Z667" s="1175"/>
      <c r="AA667" s="1176"/>
      <c r="AB667" s="1176"/>
      <c r="AC667" s="1176"/>
    </row>
    <row r="668" spans="2:29">
      <c r="B668" s="1175">
        <v>720007418</v>
      </c>
      <c r="C668" s="1175" t="s">
        <v>958</v>
      </c>
      <c r="D668" s="1175" t="s">
        <v>2059</v>
      </c>
      <c r="F668" s="1175">
        <v>720016559</v>
      </c>
      <c r="G668" s="1175" t="s">
        <v>1398</v>
      </c>
      <c r="H668" s="1178" t="s">
        <v>1849</v>
      </c>
      <c r="I668" s="1178"/>
      <c r="J668" s="1178"/>
      <c r="K668" s="1178"/>
      <c r="P668" s="1175"/>
      <c r="Q668" s="1175"/>
      <c r="R668" s="1175"/>
      <c r="S668" s="1175"/>
      <c r="T668" s="1175"/>
      <c r="U668" s="1175"/>
      <c r="V668" s="1175"/>
      <c r="W668" s="1175"/>
      <c r="X668" s="1175"/>
      <c r="Y668" s="1175"/>
      <c r="Z668" s="1175"/>
      <c r="AA668" s="1176"/>
      <c r="AB668" s="1176"/>
      <c r="AC668" s="1176"/>
    </row>
    <row r="669" spans="2:29">
      <c r="B669" s="1175">
        <v>720008390</v>
      </c>
      <c r="C669" s="1175" t="s">
        <v>1386</v>
      </c>
      <c r="D669" s="1175" t="s">
        <v>2060</v>
      </c>
      <c r="F669" s="1175">
        <v>720000421</v>
      </c>
      <c r="G669" s="1175" t="s">
        <v>1399</v>
      </c>
      <c r="H669" s="1178" t="s">
        <v>1850</v>
      </c>
      <c r="I669" s="1178"/>
      <c r="J669" s="1178"/>
      <c r="K669" s="1178"/>
      <c r="P669" s="1175"/>
      <c r="Q669" s="1175"/>
      <c r="R669" s="1175"/>
      <c r="S669" s="1175"/>
      <c r="T669" s="1175"/>
      <c r="U669" s="1175"/>
      <c r="V669" s="1175"/>
      <c r="W669" s="1175"/>
      <c r="X669" s="1175"/>
      <c r="Y669" s="1175"/>
      <c r="Z669" s="1175"/>
      <c r="AA669" s="1176"/>
      <c r="AB669" s="1176"/>
      <c r="AC669" s="1176"/>
    </row>
    <row r="670" spans="2:29">
      <c r="B670" s="1175">
        <v>720008390</v>
      </c>
      <c r="C670" s="1175" t="s">
        <v>1386</v>
      </c>
      <c r="D670" s="1175" t="s">
        <v>2060</v>
      </c>
      <c r="F670" s="1175">
        <v>720000421</v>
      </c>
      <c r="G670" s="1175" t="s">
        <v>1399</v>
      </c>
      <c r="H670" s="1178" t="s">
        <v>1850</v>
      </c>
      <c r="I670" s="1178"/>
      <c r="J670" s="1178"/>
      <c r="K670" s="1178"/>
      <c r="P670" s="1175"/>
      <c r="Q670" s="1175"/>
      <c r="R670" s="1175"/>
      <c r="S670" s="1175"/>
      <c r="T670" s="1175"/>
      <c r="U670" s="1175"/>
      <c r="V670" s="1175"/>
      <c r="W670" s="1175"/>
      <c r="X670" s="1175"/>
      <c r="Y670" s="1175"/>
      <c r="Z670" s="1175"/>
      <c r="AA670" s="1176"/>
      <c r="AB670" s="1176"/>
      <c r="AC670" s="1176"/>
    </row>
    <row r="671" spans="2:29">
      <c r="B671" s="1175">
        <v>720008390</v>
      </c>
      <c r="C671" s="1175" t="s">
        <v>1386</v>
      </c>
      <c r="D671" s="1175" t="s">
        <v>2060</v>
      </c>
      <c r="F671" s="1175">
        <v>720000421</v>
      </c>
      <c r="G671" s="1175" t="s">
        <v>1399</v>
      </c>
      <c r="H671" s="1178" t="s">
        <v>1850</v>
      </c>
      <c r="I671" s="1178"/>
      <c r="J671" s="1178"/>
      <c r="K671" s="1178"/>
      <c r="P671" s="1175"/>
      <c r="Q671" s="1175"/>
      <c r="R671" s="1175"/>
      <c r="S671" s="1175"/>
      <c r="T671" s="1175"/>
      <c r="U671" s="1175"/>
      <c r="V671" s="1175"/>
      <c r="W671" s="1175"/>
      <c r="X671" s="1175"/>
      <c r="Y671" s="1175"/>
      <c r="Z671" s="1175"/>
      <c r="AA671" s="1176"/>
      <c r="AB671" s="1176"/>
      <c r="AC671" s="1176"/>
    </row>
    <row r="672" spans="2:29">
      <c r="B672" s="1175">
        <v>720008390</v>
      </c>
      <c r="C672" s="1175" t="s">
        <v>1386</v>
      </c>
      <c r="D672" s="1175" t="s">
        <v>2060</v>
      </c>
      <c r="F672" s="1175">
        <v>720000421</v>
      </c>
      <c r="G672" s="1175" t="s">
        <v>1399</v>
      </c>
      <c r="H672" s="1178" t="s">
        <v>1850</v>
      </c>
      <c r="I672" s="1178"/>
      <c r="J672" s="1178"/>
      <c r="K672" s="1178"/>
      <c r="P672" s="1175"/>
      <c r="Q672" s="1175"/>
      <c r="R672" s="1175"/>
      <c r="S672" s="1175"/>
      <c r="T672" s="1175"/>
      <c r="U672" s="1175"/>
      <c r="V672" s="1175"/>
      <c r="W672" s="1175"/>
      <c r="X672" s="1175"/>
      <c r="Y672" s="1175"/>
      <c r="Z672" s="1175"/>
      <c r="AA672" s="1176"/>
      <c r="AB672" s="1176"/>
      <c r="AC672" s="1176"/>
    </row>
    <row r="673" spans="2:29">
      <c r="B673" s="1175">
        <v>720008390</v>
      </c>
      <c r="C673" s="1175" t="s">
        <v>1386</v>
      </c>
      <c r="D673" s="1175" t="s">
        <v>2060</v>
      </c>
      <c r="F673" s="1175">
        <v>720016864</v>
      </c>
      <c r="G673" s="1175" t="s">
        <v>1400</v>
      </c>
      <c r="H673" s="1178" t="s">
        <v>1851</v>
      </c>
      <c r="I673" s="1178"/>
      <c r="J673" s="1178"/>
      <c r="K673" s="1178"/>
      <c r="P673" s="1175"/>
      <c r="Q673" s="1175"/>
      <c r="R673" s="1175"/>
      <c r="S673" s="1175"/>
      <c r="T673" s="1175"/>
      <c r="U673" s="1175"/>
      <c r="V673" s="1175"/>
      <c r="W673" s="1175"/>
      <c r="X673" s="1175"/>
      <c r="Y673" s="1175"/>
      <c r="Z673" s="1175"/>
      <c r="AA673" s="1176"/>
      <c r="AB673" s="1176"/>
      <c r="AC673" s="1176"/>
    </row>
    <row r="674" spans="2:29">
      <c r="B674" s="1175">
        <v>720008762</v>
      </c>
      <c r="C674" s="1175" t="s">
        <v>1034</v>
      </c>
      <c r="D674" s="1175" t="s">
        <v>2045</v>
      </c>
      <c r="F674" s="1175">
        <v>720006733</v>
      </c>
      <c r="G674" s="1175" t="s">
        <v>1004</v>
      </c>
      <c r="H674" s="1178" t="s">
        <v>1837</v>
      </c>
      <c r="I674" s="1178"/>
      <c r="J674" s="1178"/>
      <c r="K674" s="1178"/>
      <c r="P674" s="1175"/>
      <c r="Q674" s="1175"/>
      <c r="R674" s="1175"/>
      <c r="S674" s="1175"/>
      <c r="T674" s="1175"/>
      <c r="U674" s="1175"/>
      <c r="V674" s="1175"/>
      <c r="W674" s="1175"/>
      <c r="X674" s="1175"/>
      <c r="Y674" s="1175"/>
      <c r="Z674" s="1175"/>
      <c r="AA674" s="1176"/>
      <c r="AB674" s="1176"/>
      <c r="AC674" s="1176"/>
    </row>
    <row r="675" spans="2:29">
      <c r="B675" s="1175">
        <v>720008762</v>
      </c>
      <c r="C675" s="1175" t="s">
        <v>1034</v>
      </c>
      <c r="D675" s="1175" t="s">
        <v>2045</v>
      </c>
      <c r="F675" s="1175">
        <v>720008317</v>
      </c>
      <c r="G675" s="1175" t="s">
        <v>1006</v>
      </c>
      <c r="H675" s="1178" t="s">
        <v>1852</v>
      </c>
      <c r="I675" s="1178"/>
      <c r="J675" s="1178"/>
      <c r="K675" s="1178"/>
      <c r="P675" s="1175"/>
      <c r="Q675" s="1175"/>
      <c r="R675" s="1175"/>
      <c r="S675" s="1175"/>
      <c r="T675" s="1175"/>
      <c r="U675" s="1175"/>
      <c r="V675" s="1175"/>
      <c r="W675" s="1175"/>
      <c r="X675" s="1175"/>
      <c r="Y675" s="1175"/>
      <c r="Z675" s="1175"/>
      <c r="AA675" s="1176"/>
      <c r="AB675" s="1176"/>
      <c r="AC675" s="1176"/>
    </row>
    <row r="676" spans="2:29">
      <c r="B676" s="1175">
        <v>720008762</v>
      </c>
      <c r="C676" s="1175" t="s">
        <v>1034</v>
      </c>
      <c r="D676" s="1175" t="s">
        <v>2045</v>
      </c>
      <c r="F676" s="1175">
        <v>720008317</v>
      </c>
      <c r="G676" s="1175" t="s">
        <v>1006</v>
      </c>
      <c r="H676" s="1178" t="s">
        <v>1852</v>
      </c>
      <c r="I676" s="1178"/>
      <c r="J676" s="1178"/>
      <c r="K676" s="1178"/>
      <c r="P676" s="1175"/>
      <c r="Q676" s="1175"/>
      <c r="R676" s="1175"/>
      <c r="S676" s="1175"/>
      <c r="T676" s="1175"/>
      <c r="U676" s="1175"/>
      <c r="V676" s="1175"/>
      <c r="W676" s="1175"/>
      <c r="X676" s="1175"/>
      <c r="Y676" s="1175"/>
      <c r="Z676" s="1175"/>
      <c r="AA676" s="1176"/>
      <c r="AB676" s="1176"/>
      <c r="AC676" s="1176"/>
    </row>
    <row r="677" spans="2:29">
      <c r="B677" s="1175">
        <v>720008762</v>
      </c>
      <c r="C677" s="1175" t="s">
        <v>1034</v>
      </c>
      <c r="D677" s="1175" t="s">
        <v>2045</v>
      </c>
      <c r="F677" s="1175">
        <v>720008317</v>
      </c>
      <c r="G677" s="1175" t="s">
        <v>1006</v>
      </c>
      <c r="H677" s="1178" t="s">
        <v>1852</v>
      </c>
      <c r="I677" s="1178"/>
      <c r="J677" s="1178"/>
      <c r="K677" s="1178"/>
      <c r="P677" s="1175"/>
      <c r="Q677" s="1175"/>
      <c r="R677" s="1175"/>
      <c r="S677" s="1175"/>
      <c r="T677" s="1175"/>
      <c r="U677" s="1175"/>
      <c r="V677" s="1175"/>
      <c r="W677" s="1175"/>
      <c r="X677" s="1175"/>
      <c r="Y677" s="1175"/>
      <c r="Z677" s="1175"/>
      <c r="AA677" s="1176"/>
      <c r="AB677" s="1176"/>
      <c r="AC677" s="1176"/>
    </row>
    <row r="678" spans="2:29">
      <c r="B678" s="1175">
        <v>720008762</v>
      </c>
      <c r="C678" s="1175" t="s">
        <v>1034</v>
      </c>
      <c r="D678" s="1175" t="s">
        <v>2045</v>
      </c>
      <c r="F678" s="1175">
        <v>720013523</v>
      </c>
      <c r="G678" s="1175" t="s">
        <v>1005</v>
      </c>
      <c r="H678" s="1178" t="s">
        <v>1853</v>
      </c>
      <c r="I678" s="1178"/>
      <c r="J678" s="1178"/>
      <c r="K678" s="1178"/>
      <c r="P678" s="1175"/>
      <c r="Q678" s="1175"/>
      <c r="R678" s="1175"/>
      <c r="S678" s="1175"/>
      <c r="T678" s="1175"/>
      <c r="U678" s="1175"/>
      <c r="V678" s="1175"/>
      <c r="W678" s="1175"/>
      <c r="X678" s="1175"/>
      <c r="Y678" s="1175"/>
      <c r="Z678" s="1175"/>
      <c r="AA678" s="1176"/>
      <c r="AB678" s="1176"/>
      <c r="AC678" s="1176"/>
    </row>
    <row r="679" spans="2:29">
      <c r="B679" s="1175">
        <v>720008762</v>
      </c>
      <c r="C679" s="1175" t="s">
        <v>1034</v>
      </c>
      <c r="D679" s="1175" t="s">
        <v>2045</v>
      </c>
      <c r="F679" s="1175">
        <v>720017912</v>
      </c>
      <c r="G679" s="1175" t="s">
        <v>1003</v>
      </c>
      <c r="H679" s="1178" t="s">
        <v>1854</v>
      </c>
      <c r="I679" s="1178"/>
      <c r="J679" s="1178"/>
      <c r="K679" s="1178"/>
      <c r="P679" s="1175"/>
      <c r="Q679" s="1175"/>
      <c r="R679" s="1175"/>
      <c r="S679" s="1175"/>
      <c r="T679" s="1175"/>
      <c r="U679" s="1175"/>
      <c r="V679" s="1175"/>
      <c r="W679" s="1175"/>
      <c r="X679" s="1175"/>
      <c r="Y679" s="1175"/>
      <c r="Z679" s="1175"/>
      <c r="AA679" s="1176"/>
      <c r="AB679" s="1176"/>
      <c r="AC679" s="1176"/>
    </row>
    <row r="680" spans="2:29">
      <c r="B680" s="1175">
        <v>720008762</v>
      </c>
      <c r="C680" s="1175" t="s">
        <v>1034</v>
      </c>
      <c r="D680" s="1175" t="s">
        <v>2045</v>
      </c>
      <c r="F680" s="1175">
        <v>720018027</v>
      </c>
      <c r="G680" s="1175" t="s">
        <v>1401</v>
      </c>
      <c r="H680" s="1178" t="s">
        <v>1854</v>
      </c>
      <c r="I680" s="1178"/>
      <c r="J680" s="1178"/>
      <c r="K680" s="1178"/>
      <c r="P680" s="1175"/>
      <c r="Q680" s="1175"/>
      <c r="R680" s="1175"/>
      <c r="S680" s="1175"/>
      <c r="T680" s="1175"/>
      <c r="U680" s="1175"/>
      <c r="V680" s="1175"/>
      <c r="W680" s="1175"/>
      <c r="X680" s="1175"/>
      <c r="Y680" s="1175"/>
      <c r="Z680" s="1175"/>
      <c r="AA680" s="1176"/>
      <c r="AB680" s="1176"/>
      <c r="AC680" s="1176"/>
    </row>
    <row r="681" spans="2:29">
      <c r="B681" s="1175">
        <v>720008762</v>
      </c>
      <c r="C681" s="1175" t="s">
        <v>1034</v>
      </c>
      <c r="D681" s="1175" t="s">
        <v>2045</v>
      </c>
      <c r="F681" s="1175">
        <v>720019512</v>
      </c>
      <c r="G681" s="1175" t="s">
        <v>1002</v>
      </c>
      <c r="H681" s="1178" t="s">
        <v>1854</v>
      </c>
      <c r="I681" s="1178"/>
      <c r="J681" s="1178"/>
      <c r="K681" s="1178"/>
      <c r="P681" s="1175"/>
      <c r="Q681" s="1175"/>
      <c r="R681" s="1175"/>
      <c r="S681" s="1175"/>
      <c r="T681" s="1175"/>
      <c r="U681" s="1175"/>
      <c r="V681" s="1175"/>
      <c r="W681" s="1175"/>
      <c r="X681" s="1175"/>
      <c r="Y681" s="1175"/>
      <c r="Z681" s="1175"/>
      <c r="AA681" s="1176"/>
      <c r="AB681" s="1176"/>
      <c r="AC681" s="1176"/>
    </row>
    <row r="682" spans="2:29">
      <c r="B682" s="1175">
        <v>720008762</v>
      </c>
      <c r="C682" s="1175" t="s">
        <v>1034</v>
      </c>
      <c r="D682" s="1175" t="s">
        <v>2045</v>
      </c>
      <c r="F682" s="1175">
        <v>720020429</v>
      </c>
      <c r="G682" s="1175" t="s">
        <v>1402</v>
      </c>
      <c r="H682" s="1178" t="s">
        <v>1855</v>
      </c>
      <c r="I682" s="1178"/>
      <c r="J682" s="1178"/>
      <c r="K682" s="1178"/>
      <c r="P682" s="1175"/>
      <c r="Q682" s="1175"/>
      <c r="R682" s="1175"/>
      <c r="S682" s="1175"/>
      <c r="T682" s="1175"/>
      <c r="U682" s="1175"/>
      <c r="V682" s="1175"/>
      <c r="W682" s="1175"/>
      <c r="X682" s="1175"/>
      <c r="Y682" s="1175"/>
      <c r="Z682" s="1175"/>
      <c r="AA682" s="1176"/>
      <c r="AB682" s="1176"/>
      <c r="AC682" s="1176"/>
    </row>
    <row r="683" spans="2:29">
      <c r="B683" s="1175">
        <v>720008762</v>
      </c>
      <c r="C683" s="1175" t="s">
        <v>1034</v>
      </c>
      <c r="D683" s="1175" t="s">
        <v>2045</v>
      </c>
      <c r="F683" s="1175">
        <v>720020809</v>
      </c>
      <c r="G683" s="1175" t="s">
        <v>1198</v>
      </c>
      <c r="H683" s="1178" t="s">
        <v>1823</v>
      </c>
      <c r="I683" s="1178"/>
      <c r="J683" s="1178"/>
      <c r="K683" s="1178"/>
      <c r="P683" s="1175"/>
      <c r="Q683" s="1175"/>
      <c r="R683" s="1175"/>
      <c r="S683" s="1175"/>
      <c r="T683" s="1175"/>
      <c r="U683" s="1175"/>
      <c r="V683" s="1175"/>
      <c r="W683" s="1175"/>
      <c r="X683" s="1175"/>
      <c r="Y683" s="1175"/>
      <c r="Z683" s="1175"/>
      <c r="AA683" s="1176"/>
      <c r="AB683" s="1176"/>
      <c r="AC683" s="1176"/>
    </row>
    <row r="684" spans="2:29">
      <c r="B684" s="1175">
        <v>720008770</v>
      </c>
      <c r="C684" s="1175" t="s">
        <v>1030</v>
      </c>
      <c r="D684" s="1175" t="s">
        <v>2061</v>
      </c>
      <c r="F684" s="1175">
        <v>720008382</v>
      </c>
      <c r="G684" s="1175" t="s">
        <v>1392</v>
      </c>
      <c r="H684" s="1178" t="s">
        <v>1842</v>
      </c>
      <c r="I684" s="1178"/>
      <c r="J684" s="1178"/>
      <c r="K684" s="1178"/>
      <c r="P684" s="1175"/>
      <c r="Q684" s="1175"/>
      <c r="R684" s="1175"/>
      <c r="S684" s="1175"/>
      <c r="T684" s="1175"/>
      <c r="U684" s="1175"/>
      <c r="V684" s="1175"/>
      <c r="W684" s="1175"/>
      <c r="X684" s="1175"/>
      <c r="Y684" s="1175"/>
      <c r="Z684" s="1175"/>
      <c r="AA684" s="1176"/>
      <c r="AB684" s="1176"/>
      <c r="AC684" s="1176"/>
    </row>
    <row r="685" spans="2:29">
      <c r="B685" s="1175">
        <v>720008770</v>
      </c>
      <c r="C685" s="1175" t="s">
        <v>1030</v>
      </c>
      <c r="D685" s="1175" t="s">
        <v>2061</v>
      </c>
      <c r="F685" s="1175">
        <v>720008382</v>
      </c>
      <c r="G685" s="1175" t="s">
        <v>1392</v>
      </c>
      <c r="H685" s="1178" t="s">
        <v>1842</v>
      </c>
      <c r="I685" s="1178"/>
      <c r="J685" s="1178"/>
      <c r="K685" s="1178"/>
      <c r="P685" s="1175"/>
      <c r="Q685" s="1175"/>
      <c r="R685" s="1175"/>
      <c r="S685" s="1175"/>
      <c r="T685" s="1175"/>
      <c r="U685" s="1175"/>
      <c r="V685" s="1175"/>
      <c r="W685" s="1175"/>
      <c r="X685" s="1175"/>
      <c r="Y685" s="1175"/>
      <c r="Z685" s="1175"/>
      <c r="AA685" s="1176"/>
      <c r="AB685" s="1176"/>
      <c r="AC685" s="1176"/>
    </row>
    <row r="686" spans="2:29">
      <c r="B686" s="1175">
        <v>720008770</v>
      </c>
      <c r="C686" s="1175" t="s">
        <v>1030</v>
      </c>
      <c r="D686" s="1175" t="s">
        <v>2061</v>
      </c>
      <c r="F686" s="1175">
        <v>720014398</v>
      </c>
      <c r="G686" s="1175" t="s">
        <v>1403</v>
      </c>
      <c r="H686" s="1178" t="s">
        <v>1856</v>
      </c>
      <c r="I686" s="1178"/>
      <c r="J686" s="1178"/>
      <c r="K686" s="1178"/>
      <c r="P686" s="1175"/>
      <c r="Q686" s="1175"/>
      <c r="R686" s="1175"/>
      <c r="S686" s="1175"/>
      <c r="T686" s="1175"/>
      <c r="U686" s="1175"/>
      <c r="V686" s="1175"/>
      <c r="W686" s="1175"/>
      <c r="X686" s="1175"/>
      <c r="Y686" s="1175"/>
      <c r="Z686" s="1175"/>
      <c r="AA686" s="1176"/>
      <c r="AB686" s="1176"/>
      <c r="AC686" s="1176"/>
    </row>
    <row r="687" spans="2:29">
      <c r="B687" s="1175">
        <v>720008770</v>
      </c>
      <c r="C687" s="1175" t="s">
        <v>1030</v>
      </c>
      <c r="D687" s="1175" t="s">
        <v>2061</v>
      </c>
      <c r="F687" s="1175">
        <v>720016617</v>
      </c>
      <c r="G687" s="1175" t="s">
        <v>1404</v>
      </c>
      <c r="H687" s="1178" t="s">
        <v>1857</v>
      </c>
      <c r="I687" s="1178"/>
      <c r="J687" s="1178"/>
      <c r="K687" s="1178"/>
      <c r="P687" s="1175"/>
      <c r="Q687" s="1175"/>
      <c r="R687" s="1175"/>
      <c r="S687" s="1175"/>
      <c r="T687" s="1175"/>
      <c r="U687" s="1175"/>
      <c r="V687" s="1175"/>
      <c r="W687" s="1175"/>
      <c r="X687" s="1175"/>
      <c r="Y687" s="1175"/>
      <c r="Z687" s="1175"/>
      <c r="AA687" s="1176"/>
      <c r="AB687" s="1176"/>
      <c r="AC687" s="1176"/>
    </row>
    <row r="688" spans="2:29">
      <c r="B688" s="1175">
        <v>720008770</v>
      </c>
      <c r="C688" s="1175" t="s">
        <v>1030</v>
      </c>
      <c r="D688" s="1175" t="s">
        <v>2061</v>
      </c>
      <c r="F688" s="1175">
        <v>720016617</v>
      </c>
      <c r="G688" s="1175" t="s">
        <v>1404</v>
      </c>
      <c r="H688" s="1178" t="s">
        <v>1857</v>
      </c>
      <c r="I688" s="1178"/>
      <c r="J688" s="1178"/>
      <c r="K688" s="1178"/>
      <c r="P688" s="1175"/>
      <c r="Q688" s="1175"/>
      <c r="R688" s="1175"/>
      <c r="S688" s="1175"/>
      <c r="T688" s="1175"/>
      <c r="U688" s="1175"/>
      <c r="V688" s="1175"/>
      <c r="W688" s="1175"/>
      <c r="X688" s="1175"/>
      <c r="Y688" s="1175"/>
      <c r="Z688" s="1175"/>
      <c r="AA688" s="1176"/>
      <c r="AB688" s="1176"/>
      <c r="AC688" s="1176"/>
    </row>
    <row r="689" spans="2:29">
      <c r="B689" s="1175">
        <v>720008770</v>
      </c>
      <c r="C689" s="1175" t="s">
        <v>1030</v>
      </c>
      <c r="D689" s="1175" t="s">
        <v>2061</v>
      </c>
      <c r="F689" s="1175">
        <v>720016617</v>
      </c>
      <c r="G689" s="1175" t="s">
        <v>1404</v>
      </c>
      <c r="H689" s="1178" t="s">
        <v>1857</v>
      </c>
      <c r="I689" s="1178"/>
      <c r="J689" s="1178"/>
      <c r="K689" s="1178"/>
      <c r="P689" s="1175"/>
      <c r="Q689" s="1175"/>
      <c r="R689" s="1175"/>
      <c r="S689" s="1175"/>
      <c r="T689" s="1175"/>
      <c r="U689" s="1175"/>
      <c r="V689" s="1175"/>
      <c r="W689" s="1175"/>
      <c r="X689" s="1175"/>
      <c r="Y689" s="1175"/>
      <c r="Z689" s="1175"/>
      <c r="AA689" s="1176"/>
      <c r="AB689" s="1176"/>
      <c r="AC689" s="1176"/>
    </row>
    <row r="690" spans="2:29">
      <c r="B690" s="1175">
        <v>720008770</v>
      </c>
      <c r="C690" s="1175" t="s">
        <v>1030</v>
      </c>
      <c r="D690" s="1175" t="s">
        <v>2061</v>
      </c>
      <c r="F690" s="1175">
        <v>720017102</v>
      </c>
      <c r="G690" s="1175" t="s">
        <v>1405</v>
      </c>
      <c r="H690" s="1178" t="s">
        <v>1858</v>
      </c>
      <c r="I690" s="1178"/>
      <c r="J690" s="1178"/>
      <c r="K690" s="1178"/>
      <c r="P690" s="1175"/>
      <c r="Q690" s="1175"/>
      <c r="R690" s="1175"/>
      <c r="S690" s="1175"/>
      <c r="T690" s="1175"/>
      <c r="U690" s="1175"/>
      <c r="V690" s="1175"/>
      <c r="W690" s="1175"/>
      <c r="X690" s="1175"/>
      <c r="Y690" s="1175"/>
      <c r="Z690" s="1175"/>
      <c r="AA690" s="1176"/>
      <c r="AB690" s="1176"/>
      <c r="AC690" s="1176"/>
    </row>
    <row r="691" spans="2:29">
      <c r="B691" s="1175">
        <v>720008770</v>
      </c>
      <c r="C691" s="1175" t="s">
        <v>1030</v>
      </c>
      <c r="D691" s="1175" t="s">
        <v>2061</v>
      </c>
      <c r="F691" s="1175">
        <v>720017193</v>
      </c>
      <c r="G691" s="1175" t="s">
        <v>1406</v>
      </c>
      <c r="H691" s="1178" t="s">
        <v>1858</v>
      </c>
      <c r="I691" s="1178"/>
      <c r="J691" s="1178"/>
      <c r="K691" s="1178"/>
      <c r="P691" s="1175"/>
      <c r="Q691" s="1175"/>
      <c r="R691" s="1175"/>
      <c r="S691" s="1175"/>
      <c r="T691" s="1175"/>
      <c r="U691" s="1175"/>
      <c r="V691" s="1175"/>
      <c r="W691" s="1175"/>
      <c r="X691" s="1175"/>
      <c r="Y691" s="1175"/>
      <c r="Z691" s="1175"/>
      <c r="AA691" s="1176"/>
      <c r="AB691" s="1176"/>
      <c r="AC691" s="1176"/>
    </row>
    <row r="692" spans="2:29">
      <c r="B692" s="1175">
        <v>720008788</v>
      </c>
      <c r="C692" s="1175" t="s">
        <v>1039</v>
      </c>
      <c r="D692" s="1175" t="s">
        <v>2063</v>
      </c>
      <c r="F692" s="1175">
        <v>720008358</v>
      </c>
      <c r="G692" s="1175" t="s">
        <v>1407</v>
      </c>
      <c r="H692" s="1178" t="s">
        <v>1859</v>
      </c>
      <c r="I692" s="1178"/>
      <c r="J692" s="1178"/>
      <c r="K692" s="1178"/>
      <c r="P692" s="1175"/>
      <c r="Q692" s="1175"/>
      <c r="R692" s="1175"/>
      <c r="S692" s="1175"/>
      <c r="T692" s="1175"/>
      <c r="U692" s="1175"/>
      <c r="V692" s="1175"/>
      <c r="W692" s="1175"/>
      <c r="X692" s="1175"/>
      <c r="Y692" s="1175"/>
      <c r="Z692" s="1175"/>
      <c r="AA692" s="1176"/>
      <c r="AB692" s="1176"/>
      <c r="AC692" s="1176"/>
    </row>
    <row r="693" spans="2:29">
      <c r="B693" s="1175">
        <v>720008796</v>
      </c>
      <c r="C693" s="1175" t="s">
        <v>1408</v>
      </c>
      <c r="D693" s="1175" t="s">
        <v>2064</v>
      </c>
      <c r="F693" s="1175">
        <v>720008077</v>
      </c>
      <c r="G693" s="1175" t="s">
        <v>1409</v>
      </c>
      <c r="H693" s="1178" t="s">
        <v>1860</v>
      </c>
      <c r="I693" s="1178"/>
      <c r="J693" s="1178"/>
      <c r="K693" s="1178"/>
      <c r="P693" s="1175"/>
      <c r="Q693" s="1175"/>
      <c r="R693" s="1175"/>
      <c r="S693" s="1175"/>
      <c r="T693" s="1175"/>
      <c r="U693" s="1175"/>
      <c r="V693" s="1175"/>
      <c r="W693" s="1175"/>
      <c r="X693" s="1175"/>
      <c r="Y693" s="1175"/>
      <c r="Z693" s="1175"/>
      <c r="AA693" s="1176"/>
      <c r="AB693" s="1176"/>
      <c r="AC693" s="1176"/>
    </row>
    <row r="694" spans="2:29">
      <c r="B694" s="1175">
        <v>720008804</v>
      </c>
      <c r="C694" s="1175" t="s">
        <v>976</v>
      </c>
      <c r="D694" s="1175" t="s">
        <v>2065</v>
      </c>
      <c r="F694" s="1175">
        <v>720007251</v>
      </c>
      <c r="G694" s="1175" t="s">
        <v>1410</v>
      </c>
      <c r="H694" s="1178" t="s">
        <v>1861</v>
      </c>
      <c r="I694" s="1178"/>
      <c r="J694" s="1178"/>
      <c r="K694" s="1178"/>
      <c r="P694" s="1175"/>
      <c r="Q694" s="1175"/>
      <c r="R694" s="1175"/>
      <c r="S694" s="1175"/>
      <c r="T694" s="1175"/>
      <c r="U694" s="1175"/>
      <c r="V694" s="1175"/>
      <c r="W694" s="1175"/>
      <c r="X694" s="1175"/>
      <c r="Y694" s="1175"/>
      <c r="Z694" s="1175"/>
      <c r="AA694" s="1176"/>
      <c r="AB694" s="1176"/>
      <c r="AC694" s="1176"/>
    </row>
    <row r="695" spans="2:29">
      <c r="B695" s="1175">
        <v>720008804</v>
      </c>
      <c r="C695" s="1175" t="s">
        <v>976</v>
      </c>
      <c r="D695" s="1175" t="s">
        <v>2065</v>
      </c>
      <c r="F695" s="1175">
        <v>720015395</v>
      </c>
      <c r="G695" s="1175" t="s">
        <v>1411</v>
      </c>
      <c r="H695" s="1178" t="s">
        <v>1862</v>
      </c>
      <c r="I695" s="1178"/>
      <c r="J695" s="1178"/>
      <c r="K695" s="1178"/>
      <c r="P695" s="1175"/>
      <c r="Q695" s="1175"/>
      <c r="R695" s="1175"/>
      <c r="S695" s="1175"/>
      <c r="T695" s="1175"/>
      <c r="U695" s="1175"/>
      <c r="V695" s="1175"/>
      <c r="W695" s="1175"/>
      <c r="X695" s="1175"/>
      <c r="Y695" s="1175"/>
      <c r="Z695" s="1175"/>
      <c r="AA695" s="1176"/>
      <c r="AB695" s="1176"/>
      <c r="AC695" s="1176"/>
    </row>
    <row r="696" spans="2:29">
      <c r="B696" s="1175">
        <v>720008820</v>
      </c>
      <c r="C696" s="1175" t="s">
        <v>954</v>
      </c>
      <c r="D696" s="1175" t="s">
        <v>2066</v>
      </c>
      <c r="F696" s="1175">
        <v>720008333</v>
      </c>
      <c r="G696" s="1175" t="s">
        <v>1412</v>
      </c>
      <c r="H696" s="1178" t="s">
        <v>1863</v>
      </c>
      <c r="I696" s="1178"/>
      <c r="J696" s="1178"/>
      <c r="K696" s="1178"/>
      <c r="P696" s="1175"/>
      <c r="Q696" s="1175"/>
      <c r="R696" s="1175"/>
      <c r="S696" s="1175"/>
      <c r="T696" s="1175"/>
      <c r="U696" s="1175"/>
      <c r="V696" s="1175"/>
      <c r="W696" s="1175"/>
      <c r="X696" s="1175"/>
      <c r="Y696" s="1175"/>
      <c r="Z696" s="1175"/>
      <c r="AA696" s="1176"/>
      <c r="AB696" s="1176"/>
      <c r="AC696" s="1176"/>
    </row>
    <row r="697" spans="2:29">
      <c r="B697" s="1175">
        <v>720008820</v>
      </c>
      <c r="C697" s="1175" t="s">
        <v>954</v>
      </c>
      <c r="D697" s="1175" t="s">
        <v>2066</v>
      </c>
      <c r="F697" s="1175">
        <v>720017151</v>
      </c>
      <c r="G697" s="1175" t="s">
        <v>1413</v>
      </c>
      <c r="H697" s="1178" t="s">
        <v>1863</v>
      </c>
      <c r="I697" s="1178"/>
      <c r="J697" s="1178"/>
      <c r="K697" s="1178"/>
      <c r="P697" s="1175"/>
      <c r="Q697" s="1175"/>
      <c r="R697" s="1175"/>
      <c r="S697" s="1175"/>
      <c r="T697" s="1175"/>
      <c r="U697" s="1175"/>
      <c r="V697" s="1175"/>
      <c r="W697" s="1175"/>
      <c r="X697" s="1175"/>
      <c r="Y697" s="1175"/>
      <c r="Z697" s="1175"/>
      <c r="AA697" s="1176"/>
      <c r="AB697" s="1176"/>
      <c r="AC697" s="1176"/>
    </row>
    <row r="698" spans="2:29">
      <c r="B698" s="1175">
        <v>720009562</v>
      </c>
      <c r="C698" s="1175" t="s">
        <v>1029</v>
      </c>
      <c r="D698" s="1175" t="s">
        <v>2067</v>
      </c>
      <c r="F698" s="1175">
        <v>720000280</v>
      </c>
      <c r="G698" s="1175" t="s">
        <v>1414</v>
      </c>
      <c r="H698" s="1178" t="s">
        <v>1864</v>
      </c>
      <c r="I698" s="1178"/>
      <c r="J698" s="1178"/>
      <c r="K698" s="1178"/>
      <c r="P698" s="1175"/>
      <c r="Q698" s="1175"/>
      <c r="R698" s="1175"/>
      <c r="S698" s="1175"/>
      <c r="T698" s="1175"/>
      <c r="U698" s="1175"/>
      <c r="V698" s="1175"/>
      <c r="W698" s="1175"/>
      <c r="X698" s="1175"/>
      <c r="Y698" s="1175"/>
      <c r="Z698" s="1175"/>
      <c r="AA698" s="1176"/>
      <c r="AB698" s="1176"/>
      <c r="AC698" s="1176"/>
    </row>
    <row r="699" spans="2:29">
      <c r="B699" s="1175">
        <v>720009562</v>
      </c>
      <c r="C699" s="1175" t="s">
        <v>1029</v>
      </c>
      <c r="D699" s="1175" t="s">
        <v>2067</v>
      </c>
      <c r="F699" s="1175">
        <v>720005750</v>
      </c>
      <c r="G699" s="1175" t="s">
        <v>1415</v>
      </c>
      <c r="H699" s="1178" t="s">
        <v>1865</v>
      </c>
      <c r="I699" s="1178"/>
      <c r="J699" s="1178"/>
      <c r="K699" s="1178"/>
      <c r="P699" s="1175"/>
      <c r="Q699" s="1175"/>
      <c r="R699" s="1175"/>
      <c r="S699" s="1175"/>
      <c r="T699" s="1175"/>
      <c r="U699" s="1175"/>
      <c r="V699" s="1175"/>
      <c r="W699" s="1175"/>
      <c r="X699" s="1175"/>
      <c r="Y699" s="1175"/>
      <c r="Z699" s="1175"/>
      <c r="AA699" s="1176"/>
      <c r="AB699" s="1176"/>
      <c r="AC699" s="1176"/>
    </row>
    <row r="700" spans="2:29">
      <c r="B700" s="1175">
        <v>720009562</v>
      </c>
      <c r="C700" s="1175" t="s">
        <v>1029</v>
      </c>
      <c r="D700" s="1175" t="s">
        <v>2067</v>
      </c>
      <c r="F700" s="1175">
        <v>720005750</v>
      </c>
      <c r="G700" s="1175" t="s">
        <v>1415</v>
      </c>
      <c r="H700" s="1178" t="s">
        <v>1865</v>
      </c>
      <c r="I700" s="1178"/>
      <c r="J700" s="1178"/>
      <c r="K700" s="1178"/>
      <c r="P700" s="1175"/>
      <c r="Q700" s="1175"/>
      <c r="R700" s="1175"/>
      <c r="S700" s="1175"/>
      <c r="T700" s="1175"/>
      <c r="U700" s="1175"/>
      <c r="V700" s="1175"/>
      <c r="W700" s="1175"/>
      <c r="X700" s="1175"/>
      <c r="Y700" s="1175"/>
      <c r="Z700" s="1175"/>
      <c r="AA700" s="1176"/>
      <c r="AB700" s="1176"/>
      <c r="AC700" s="1176"/>
    </row>
    <row r="701" spans="2:29">
      <c r="B701" s="1175">
        <v>720009562</v>
      </c>
      <c r="C701" s="1175" t="s">
        <v>1029</v>
      </c>
      <c r="D701" s="1175" t="s">
        <v>2067</v>
      </c>
      <c r="F701" s="1175">
        <v>720006410</v>
      </c>
      <c r="G701" s="1175" t="s">
        <v>1416</v>
      </c>
      <c r="H701" s="1178" t="s">
        <v>1866</v>
      </c>
      <c r="I701" s="1178"/>
      <c r="J701" s="1178"/>
      <c r="K701" s="1178"/>
      <c r="P701" s="1175"/>
      <c r="Q701" s="1175"/>
      <c r="R701" s="1175"/>
      <c r="S701" s="1175"/>
      <c r="T701" s="1175"/>
      <c r="U701" s="1175"/>
      <c r="V701" s="1175"/>
      <c r="W701" s="1175"/>
      <c r="X701" s="1175"/>
      <c r="Y701" s="1175"/>
      <c r="Z701" s="1175"/>
      <c r="AA701" s="1176"/>
      <c r="AB701" s="1176"/>
      <c r="AC701" s="1176"/>
    </row>
    <row r="702" spans="2:29">
      <c r="B702" s="1175">
        <v>720009562</v>
      </c>
      <c r="C702" s="1175" t="s">
        <v>1029</v>
      </c>
      <c r="D702" s="1175" t="s">
        <v>2067</v>
      </c>
      <c r="F702" s="1175">
        <v>720006915</v>
      </c>
      <c r="G702" s="1175" t="s">
        <v>1417</v>
      </c>
      <c r="H702" s="1178" t="s">
        <v>1867</v>
      </c>
      <c r="I702" s="1178"/>
      <c r="J702" s="1178"/>
      <c r="K702" s="1178"/>
      <c r="P702" s="1175"/>
      <c r="Q702" s="1175"/>
      <c r="R702" s="1175"/>
      <c r="S702" s="1175"/>
      <c r="T702" s="1175"/>
      <c r="U702" s="1175"/>
      <c r="V702" s="1175"/>
      <c r="W702" s="1175"/>
      <c r="X702" s="1175"/>
      <c r="Y702" s="1175"/>
      <c r="Z702" s="1175"/>
      <c r="AA702" s="1176"/>
      <c r="AB702" s="1176"/>
      <c r="AC702" s="1176"/>
    </row>
    <row r="703" spans="2:29">
      <c r="B703" s="1175">
        <v>720009562</v>
      </c>
      <c r="C703" s="1175" t="s">
        <v>1029</v>
      </c>
      <c r="D703" s="1175" t="s">
        <v>2067</v>
      </c>
      <c r="F703" s="1175">
        <v>720006915</v>
      </c>
      <c r="G703" s="1175" t="s">
        <v>1417</v>
      </c>
      <c r="H703" s="1178" t="s">
        <v>1867</v>
      </c>
      <c r="I703" s="1178"/>
      <c r="J703" s="1178"/>
      <c r="K703" s="1178"/>
      <c r="P703" s="1175"/>
      <c r="Q703" s="1175"/>
      <c r="R703" s="1175"/>
      <c r="S703" s="1175"/>
      <c r="T703" s="1175"/>
      <c r="U703" s="1175"/>
      <c r="V703" s="1175"/>
      <c r="W703" s="1175"/>
      <c r="X703" s="1175"/>
      <c r="Y703" s="1175"/>
      <c r="Z703" s="1175"/>
      <c r="AA703" s="1176"/>
      <c r="AB703" s="1176"/>
      <c r="AC703" s="1176"/>
    </row>
    <row r="704" spans="2:29">
      <c r="B704" s="1175">
        <v>720009562</v>
      </c>
      <c r="C704" s="1175" t="s">
        <v>1029</v>
      </c>
      <c r="D704" s="1175" t="s">
        <v>2067</v>
      </c>
      <c r="F704" s="1175">
        <v>720011949</v>
      </c>
      <c r="G704" s="1175" t="s">
        <v>1418</v>
      </c>
      <c r="H704" s="1178" t="s">
        <v>1868</v>
      </c>
      <c r="I704" s="1178"/>
      <c r="J704" s="1178"/>
      <c r="K704" s="1178"/>
      <c r="P704" s="1175"/>
      <c r="Q704" s="1175"/>
      <c r="R704" s="1175"/>
      <c r="S704" s="1175"/>
      <c r="T704" s="1175"/>
      <c r="U704" s="1175"/>
      <c r="V704" s="1175"/>
      <c r="W704" s="1175"/>
      <c r="X704" s="1175"/>
      <c r="Y704" s="1175"/>
      <c r="Z704" s="1175"/>
      <c r="AA704" s="1176"/>
      <c r="AB704" s="1176"/>
      <c r="AC704" s="1176"/>
    </row>
    <row r="705" spans="2:29">
      <c r="B705" s="1175">
        <v>720009562</v>
      </c>
      <c r="C705" s="1175" t="s">
        <v>1029</v>
      </c>
      <c r="D705" s="1175" t="s">
        <v>2067</v>
      </c>
      <c r="F705" s="1175">
        <v>720011949</v>
      </c>
      <c r="G705" s="1175" t="s">
        <v>1418</v>
      </c>
      <c r="H705" s="1178" t="s">
        <v>1868</v>
      </c>
      <c r="I705" s="1178"/>
      <c r="J705" s="1178"/>
      <c r="K705" s="1178"/>
      <c r="P705" s="1175"/>
      <c r="Q705" s="1175"/>
      <c r="R705" s="1175"/>
      <c r="S705" s="1175"/>
      <c r="T705" s="1175"/>
      <c r="U705" s="1175"/>
      <c r="V705" s="1175"/>
      <c r="W705" s="1175"/>
      <c r="X705" s="1175"/>
      <c r="Y705" s="1175"/>
      <c r="Z705" s="1175"/>
      <c r="AA705" s="1176"/>
      <c r="AB705" s="1176"/>
      <c r="AC705" s="1176"/>
    </row>
    <row r="706" spans="2:29">
      <c r="B706" s="1175">
        <v>720009562</v>
      </c>
      <c r="C706" s="1175" t="s">
        <v>1029</v>
      </c>
      <c r="D706" s="1175" t="s">
        <v>2067</v>
      </c>
      <c r="F706" s="1175">
        <v>720012574</v>
      </c>
      <c r="G706" s="1175" t="s">
        <v>1419</v>
      </c>
      <c r="H706" s="1178" t="s">
        <v>1869</v>
      </c>
      <c r="I706" s="1178"/>
      <c r="J706" s="1178"/>
      <c r="K706" s="1178"/>
      <c r="P706" s="1175"/>
      <c r="Q706" s="1175"/>
      <c r="R706" s="1175"/>
      <c r="S706" s="1175"/>
      <c r="T706" s="1175"/>
      <c r="U706" s="1175"/>
      <c r="V706" s="1175"/>
      <c r="W706" s="1175"/>
      <c r="X706" s="1175"/>
      <c r="Y706" s="1175"/>
      <c r="Z706" s="1175"/>
      <c r="AA706" s="1176"/>
      <c r="AB706" s="1176"/>
      <c r="AC706" s="1176"/>
    </row>
    <row r="707" spans="2:29">
      <c r="B707" s="1175">
        <v>720009562</v>
      </c>
      <c r="C707" s="1175" t="s">
        <v>1029</v>
      </c>
      <c r="D707" s="1175" t="s">
        <v>2067</v>
      </c>
      <c r="F707" s="1175">
        <v>720013093</v>
      </c>
      <c r="G707" s="1175" t="s">
        <v>1420</v>
      </c>
      <c r="H707" s="1178" t="s">
        <v>1870</v>
      </c>
      <c r="I707" s="1178"/>
      <c r="J707" s="1178"/>
      <c r="K707" s="1178"/>
      <c r="P707" s="1175"/>
      <c r="Q707" s="1175"/>
      <c r="R707" s="1175"/>
      <c r="S707" s="1175"/>
      <c r="T707" s="1175"/>
      <c r="U707" s="1175"/>
      <c r="V707" s="1175"/>
      <c r="W707" s="1175"/>
      <c r="X707" s="1175"/>
      <c r="Y707" s="1175"/>
      <c r="Z707" s="1175"/>
      <c r="AA707" s="1176"/>
      <c r="AB707" s="1176"/>
      <c r="AC707" s="1176"/>
    </row>
    <row r="708" spans="2:29">
      <c r="B708" s="1175">
        <v>720009562</v>
      </c>
      <c r="C708" s="1175" t="s">
        <v>1029</v>
      </c>
      <c r="D708" s="1175" t="s">
        <v>2067</v>
      </c>
      <c r="F708" s="1175">
        <v>720013093</v>
      </c>
      <c r="G708" s="1175" t="s">
        <v>1420</v>
      </c>
      <c r="H708" s="1178" t="s">
        <v>1870</v>
      </c>
      <c r="I708" s="1178"/>
      <c r="J708" s="1178"/>
      <c r="K708" s="1178"/>
      <c r="P708" s="1175"/>
      <c r="Q708" s="1175"/>
      <c r="R708" s="1175"/>
      <c r="S708" s="1175"/>
      <c r="T708" s="1175"/>
      <c r="U708" s="1175"/>
      <c r="V708" s="1175"/>
      <c r="W708" s="1175"/>
      <c r="X708" s="1175"/>
      <c r="Y708" s="1175"/>
      <c r="Z708" s="1175"/>
      <c r="AA708" s="1176"/>
      <c r="AB708" s="1176"/>
      <c r="AC708" s="1176"/>
    </row>
    <row r="709" spans="2:29">
      <c r="B709" s="1175">
        <v>720009562</v>
      </c>
      <c r="C709" s="1175" t="s">
        <v>1029</v>
      </c>
      <c r="D709" s="1175" t="s">
        <v>2067</v>
      </c>
      <c r="F709" s="1175">
        <v>720016328</v>
      </c>
      <c r="G709" s="1175" t="s">
        <v>948</v>
      </c>
      <c r="H709" s="1178" t="s">
        <v>1871</v>
      </c>
      <c r="I709" s="1178"/>
      <c r="J709" s="1178"/>
      <c r="K709" s="1178"/>
      <c r="P709" s="1175"/>
      <c r="Q709" s="1175"/>
      <c r="R709" s="1175"/>
      <c r="S709" s="1175"/>
      <c r="T709" s="1175"/>
      <c r="U709" s="1175"/>
      <c r="V709" s="1175"/>
      <c r="W709" s="1175"/>
      <c r="X709" s="1175"/>
      <c r="Y709" s="1175"/>
      <c r="Z709" s="1175"/>
      <c r="AA709" s="1176"/>
      <c r="AB709" s="1176"/>
      <c r="AC709" s="1176"/>
    </row>
    <row r="710" spans="2:29">
      <c r="B710" s="1175">
        <v>720009562</v>
      </c>
      <c r="C710" s="1175" t="s">
        <v>1029</v>
      </c>
      <c r="D710" s="1175" t="s">
        <v>2067</v>
      </c>
      <c r="F710" s="1175">
        <v>720016328</v>
      </c>
      <c r="G710" s="1175" t="s">
        <v>948</v>
      </c>
      <c r="H710" s="1178" t="s">
        <v>1871</v>
      </c>
      <c r="I710" s="1178"/>
      <c r="J710" s="1178"/>
      <c r="K710" s="1178"/>
      <c r="P710" s="1175"/>
      <c r="Q710" s="1175"/>
      <c r="R710" s="1175"/>
      <c r="S710" s="1175"/>
      <c r="T710" s="1175"/>
      <c r="U710" s="1175"/>
      <c r="V710" s="1175"/>
      <c r="W710" s="1175"/>
      <c r="X710" s="1175"/>
      <c r="Y710" s="1175"/>
      <c r="Z710" s="1175"/>
      <c r="AA710" s="1176"/>
      <c r="AB710" s="1176"/>
      <c r="AC710" s="1176"/>
    </row>
    <row r="711" spans="2:29">
      <c r="B711" s="1175">
        <v>720009562</v>
      </c>
      <c r="C711" s="1175" t="s">
        <v>1029</v>
      </c>
      <c r="D711" s="1175" t="s">
        <v>2067</v>
      </c>
      <c r="F711" s="1175">
        <v>720016666</v>
      </c>
      <c r="G711" s="1175" t="s">
        <v>1421</v>
      </c>
      <c r="H711" s="1178" t="s">
        <v>1872</v>
      </c>
      <c r="I711" s="1178"/>
      <c r="J711" s="1178"/>
      <c r="K711" s="1178"/>
      <c r="P711" s="1175"/>
      <c r="Q711" s="1175"/>
      <c r="R711" s="1175"/>
      <c r="S711" s="1175"/>
      <c r="T711" s="1175"/>
      <c r="U711" s="1175"/>
      <c r="V711" s="1175"/>
      <c r="W711" s="1175"/>
      <c r="X711" s="1175"/>
      <c r="Y711" s="1175"/>
      <c r="Z711" s="1175"/>
      <c r="AA711" s="1176"/>
      <c r="AB711" s="1176"/>
      <c r="AC711" s="1176"/>
    </row>
    <row r="712" spans="2:29">
      <c r="B712" s="1175">
        <v>720009562</v>
      </c>
      <c r="C712" s="1175" t="s">
        <v>1029</v>
      </c>
      <c r="D712" s="1175" t="s">
        <v>2067</v>
      </c>
      <c r="F712" s="1175">
        <v>720017664</v>
      </c>
      <c r="G712" s="1175" t="s">
        <v>1422</v>
      </c>
      <c r="H712" s="1178" t="s">
        <v>1873</v>
      </c>
      <c r="I712" s="1178"/>
      <c r="J712" s="1178"/>
      <c r="K712" s="1178"/>
      <c r="P712" s="1175"/>
      <c r="Q712" s="1175"/>
      <c r="R712" s="1175"/>
      <c r="S712" s="1175"/>
      <c r="T712" s="1175"/>
      <c r="U712" s="1175"/>
      <c r="V712" s="1175"/>
      <c r="W712" s="1175"/>
      <c r="X712" s="1175"/>
      <c r="Y712" s="1175"/>
      <c r="Z712" s="1175"/>
      <c r="AA712" s="1176"/>
      <c r="AB712" s="1176"/>
      <c r="AC712" s="1176"/>
    </row>
    <row r="713" spans="2:29">
      <c r="B713" s="1175">
        <v>720009562</v>
      </c>
      <c r="C713" s="1175" t="s">
        <v>1029</v>
      </c>
      <c r="D713" s="1175" t="s">
        <v>2067</v>
      </c>
      <c r="F713" s="1175">
        <v>720018407</v>
      </c>
      <c r="G713" s="1175" t="s">
        <v>1423</v>
      </c>
      <c r="H713" s="1178" t="s">
        <v>1874</v>
      </c>
      <c r="I713" s="1178"/>
      <c r="J713" s="1178"/>
      <c r="K713" s="1178"/>
      <c r="P713" s="1175"/>
      <c r="Q713" s="1175"/>
      <c r="R713" s="1175"/>
      <c r="S713" s="1175"/>
      <c r="T713" s="1175"/>
      <c r="U713" s="1175"/>
      <c r="V713" s="1175"/>
      <c r="W713" s="1175"/>
      <c r="X713" s="1175"/>
      <c r="Y713" s="1175"/>
      <c r="Z713" s="1175"/>
      <c r="AA713" s="1176"/>
      <c r="AB713" s="1176"/>
      <c r="AC713" s="1176"/>
    </row>
    <row r="714" spans="2:29">
      <c r="B714" s="1175">
        <v>720012749</v>
      </c>
      <c r="C714" s="1175" t="s">
        <v>996</v>
      </c>
      <c r="D714" s="1175" t="s">
        <v>2068</v>
      </c>
      <c r="F714" s="1175">
        <v>720018381</v>
      </c>
      <c r="G714" s="1175" t="s">
        <v>995</v>
      </c>
      <c r="H714" s="1178" t="s">
        <v>1875</v>
      </c>
      <c r="I714" s="1178"/>
      <c r="J714" s="1178"/>
      <c r="K714" s="1178"/>
      <c r="P714" s="1175"/>
      <c r="Q714" s="1175"/>
      <c r="R714" s="1175"/>
      <c r="S714" s="1175"/>
      <c r="T714" s="1175"/>
      <c r="U714" s="1175"/>
      <c r="V714" s="1175"/>
      <c r="W714" s="1175"/>
      <c r="X714" s="1175"/>
      <c r="Y714" s="1175"/>
      <c r="Z714" s="1175"/>
      <c r="AA714" s="1176"/>
      <c r="AB714" s="1176"/>
      <c r="AC714" s="1176"/>
    </row>
    <row r="715" spans="2:29">
      <c r="B715" s="1175">
        <v>720012749</v>
      </c>
      <c r="C715" s="1175" t="s">
        <v>996</v>
      </c>
      <c r="D715" s="1175" t="s">
        <v>2068</v>
      </c>
      <c r="F715" s="1175">
        <v>720018381</v>
      </c>
      <c r="G715" s="1175" t="s">
        <v>995</v>
      </c>
      <c r="H715" s="1178" t="s">
        <v>1875</v>
      </c>
      <c r="I715" s="1178"/>
      <c r="J715" s="1178"/>
      <c r="K715" s="1178"/>
      <c r="P715" s="1175"/>
      <c r="Q715" s="1175"/>
      <c r="R715" s="1175"/>
      <c r="S715" s="1175"/>
      <c r="T715" s="1175"/>
      <c r="U715" s="1175"/>
      <c r="V715" s="1175"/>
      <c r="W715" s="1175"/>
      <c r="X715" s="1175"/>
      <c r="Y715" s="1175"/>
      <c r="Z715" s="1175"/>
      <c r="AA715" s="1176"/>
      <c r="AB715" s="1176"/>
      <c r="AC715" s="1176"/>
    </row>
    <row r="716" spans="2:29">
      <c r="B716" s="1175">
        <v>720016724</v>
      </c>
      <c r="C716" s="1175" t="s">
        <v>1062</v>
      </c>
      <c r="D716" s="1175" t="s">
        <v>2069</v>
      </c>
      <c r="F716" s="1175">
        <v>720014349</v>
      </c>
      <c r="G716" s="1175" t="s">
        <v>1424</v>
      </c>
      <c r="H716" s="1178" t="s">
        <v>1876</v>
      </c>
      <c r="I716" s="1178"/>
      <c r="J716" s="1178"/>
      <c r="K716" s="1178"/>
      <c r="P716" s="1175"/>
      <c r="Q716" s="1175"/>
      <c r="R716" s="1175"/>
      <c r="S716" s="1175"/>
      <c r="T716" s="1175"/>
      <c r="U716" s="1175"/>
      <c r="V716" s="1175"/>
      <c r="W716" s="1175"/>
      <c r="X716" s="1175"/>
      <c r="Y716" s="1175"/>
      <c r="Z716" s="1175"/>
      <c r="AA716" s="1176"/>
      <c r="AB716" s="1176"/>
      <c r="AC716" s="1176"/>
    </row>
    <row r="717" spans="2:29">
      <c r="B717" s="1175">
        <v>750720591</v>
      </c>
      <c r="C717" s="1175" t="s">
        <v>1425</v>
      </c>
      <c r="D717" s="1175" t="s">
        <v>2070</v>
      </c>
      <c r="F717" s="1175">
        <v>720005743</v>
      </c>
      <c r="G717" s="1175" t="s">
        <v>1426</v>
      </c>
      <c r="H717" s="1178" t="s">
        <v>1877</v>
      </c>
      <c r="I717" s="1178"/>
      <c r="J717" s="1178"/>
      <c r="K717" s="1178"/>
      <c r="P717" s="1175"/>
      <c r="Q717" s="1175"/>
      <c r="R717" s="1175"/>
      <c r="S717" s="1175"/>
      <c r="T717" s="1175"/>
      <c r="U717" s="1175"/>
      <c r="V717" s="1175"/>
      <c r="W717" s="1175"/>
      <c r="X717" s="1175"/>
      <c r="Y717" s="1175"/>
      <c r="Z717" s="1175"/>
      <c r="AA717" s="1176"/>
      <c r="AB717" s="1176"/>
      <c r="AC717" s="1176"/>
    </row>
    <row r="718" spans="2:29">
      <c r="B718" s="1175">
        <v>930019484</v>
      </c>
      <c r="C718" s="1175" t="s">
        <v>1060</v>
      </c>
      <c r="D718" s="1175" t="s">
        <v>2052</v>
      </c>
      <c r="F718" s="1175">
        <v>720017201</v>
      </c>
      <c r="G718" s="1175" t="s">
        <v>1427</v>
      </c>
      <c r="H718" s="1178" t="s">
        <v>1846</v>
      </c>
      <c r="I718" s="1178"/>
      <c r="J718" s="1178"/>
      <c r="K718" s="1178"/>
      <c r="P718" s="1175"/>
      <c r="Q718" s="1175"/>
      <c r="R718" s="1175"/>
      <c r="S718" s="1175"/>
      <c r="T718" s="1175"/>
      <c r="U718" s="1175"/>
      <c r="V718" s="1175"/>
      <c r="W718" s="1175"/>
      <c r="X718" s="1175"/>
      <c r="Y718" s="1175"/>
      <c r="Z718" s="1175"/>
      <c r="AA718" s="1176"/>
      <c r="AB718" s="1176"/>
      <c r="AC718" s="1176"/>
    </row>
    <row r="719" spans="2:29">
      <c r="B719" s="1175">
        <v>930019484</v>
      </c>
      <c r="C719" s="1175" t="s">
        <v>1060</v>
      </c>
      <c r="D719" s="1175" t="s">
        <v>2052</v>
      </c>
      <c r="F719" s="1175">
        <v>720017201</v>
      </c>
      <c r="G719" s="1175" t="s">
        <v>1427</v>
      </c>
      <c r="H719" s="1178" t="s">
        <v>1846</v>
      </c>
      <c r="I719" s="1178"/>
      <c r="J719" s="1178"/>
      <c r="K719" s="1178"/>
      <c r="P719" s="1175"/>
      <c r="Q719" s="1175"/>
      <c r="R719" s="1175"/>
      <c r="S719" s="1175"/>
      <c r="T719" s="1175"/>
      <c r="U719" s="1175"/>
      <c r="V719" s="1175"/>
      <c r="W719" s="1175"/>
      <c r="X719" s="1175"/>
      <c r="Y719" s="1175"/>
      <c r="Z719" s="1175"/>
      <c r="AA719" s="1176"/>
      <c r="AB719" s="1176"/>
      <c r="AC719" s="1176"/>
    </row>
    <row r="720" spans="2:29">
      <c r="B720" s="1175">
        <v>440042844</v>
      </c>
      <c r="C720" s="1175" t="s">
        <v>1067</v>
      </c>
      <c r="D720" s="1175" t="s">
        <v>2013</v>
      </c>
      <c r="F720" s="1175">
        <v>850000332</v>
      </c>
      <c r="G720" s="1175" t="s">
        <v>1428</v>
      </c>
      <c r="H720" s="1178" t="s">
        <v>1878</v>
      </c>
      <c r="I720" s="1178"/>
      <c r="J720" s="1178"/>
      <c r="K720" s="1178"/>
      <c r="P720" s="1175"/>
      <c r="Q720" s="1175"/>
      <c r="R720" s="1175"/>
      <c r="S720" s="1175"/>
      <c r="T720" s="1175"/>
      <c r="U720" s="1175"/>
      <c r="V720" s="1175"/>
      <c r="W720" s="1175"/>
      <c r="X720" s="1175"/>
      <c r="Y720" s="1175"/>
      <c r="Z720" s="1175"/>
      <c r="AA720" s="1176"/>
      <c r="AB720" s="1176"/>
      <c r="AC720" s="1176"/>
    </row>
    <row r="721" spans="2:29">
      <c r="B721" s="1175">
        <v>440042844</v>
      </c>
      <c r="C721" s="1175" t="s">
        <v>1067</v>
      </c>
      <c r="D721" s="1175" t="s">
        <v>2013</v>
      </c>
      <c r="F721" s="1175">
        <v>850000332</v>
      </c>
      <c r="G721" s="1175" t="s">
        <v>1428</v>
      </c>
      <c r="H721" s="1178" t="s">
        <v>1878</v>
      </c>
      <c r="I721" s="1178"/>
      <c r="J721" s="1178"/>
      <c r="K721" s="1178"/>
      <c r="P721" s="1175"/>
      <c r="Q721" s="1175"/>
      <c r="R721" s="1175"/>
      <c r="S721" s="1175"/>
      <c r="T721" s="1175"/>
      <c r="U721" s="1175"/>
      <c r="V721" s="1175"/>
      <c r="W721" s="1175"/>
      <c r="X721" s="1175"/>
      <c r="Y721" s="1175"/>
      <c r="Z721" s="1175"/>
      <c r="AA721" s="1176"/>
      <c r="AB721" s="1176"/>
      <c r="AC721" s="1176"/>
    </row>
    <row r="722" spans="2:29">
      <c r="B722" s="1175">
        <v>590799730</v>
      </c>
      <c r="C722" s="1175" t="s">
        <v>1429</v>
      </c>
      <c r="D722" s="1175" t="s">
        <v>2071</v>
      </c>
      <c r="F722" s="1175">
        <v>850019811</v>
      </c>
      <c r="G722" s="1175" t="s">
        <v>930</v>
      </c>
      <c r="H722" s="1178" t="s">
        <v>1879</v>
      </c>
      <c r="I722" s="1178"/>
      <c r="J722" s="1178"/>
      <c r="K722" s="1178"/>
      <c r="P722" s="1175"/>
      <c r="Q722" s="1175"/>
      <c r="R722" s="1175"/>
      <c r="S722" s="1175"/>
      <c r="T722" s="1175"/>
      <c r="U722" s="1175"/>
      <c r="V722" s="1175"/>
      <c r="W722" s="1175"/>
      <c r="X722" s="1175"/>
      <c r="Y722" s="1175"/>
      <c r="Z722" s="1175"/>
      <c r="AA722" s="1176"/>
      <c r="AB722" s="1176"/>
      <c r="AC722" s="1175"/>
    </row>
    <row r="723" spans="2:29">
      <c r="B723" s="1175">
        <v>590799730</v>
      </c>
      <c r="C723" s="1175" t="s">
        <v>1429</v>
      </c>
      <c r="D723" s="1175" t="s">
        <v>2071</v>
      </c>
      <c r="F723" s="1175">
        <v>850025370</v>
      </c>
      <c r="G723" s="1175" t="s">
        <v>931</v>
      </c>
      <c r="H723" s="1178" t="s">
        <v>1880</v>
      </c>
      <c r="I723" s="1178"/>
      <c r="J723" s="1178"/>
      <c r="K723" s="1178"/>
      <c r="P723" s="1175"/>
      <c r="Q723" s="1175"/>
      <c r="R723" s="1175"/>
      <c r="S723" s="1175"/>
      <c r="T723" s="1175"/>
      <c r="U723" s="1175"/>
      <c r="V723" s="1175"/>
      <c r="W723" s="1175"/>
      <c r="X723" s="1175"/>
      <c r="Y723" s="1175"/>
      <c r="Z723" s="1175"/>
      <c r="AA723" s="1176"/>
      <c r="AB723" s="1176"/>
      <c r="AC723" s="1176"/>
    </row>
    <row r="724" spans="2:29">
      <c r="B724" s="1175">
        <v>690793435</v>
      </c>
      <c r="C724" s="1175" t="s">
        <v>966</v>
      </c>
      <c r="D724" s="1175" t="s">
        <v>2004</v>
      </c>
      <c r="F724" s="1175">
        <v>850020421</v>
      </c>
      <c r="G724" s="1175" t="s">
        <v>1430</v>
      </c>
      <c r="H724" s="1178" t="s">
        <v>1881</v>
      </c>
      <c r="I724" s="1178"/>
      <c r="J724" s="1178"/>
      <c r="K724" s="1178"/>
      <c r="P724" s="1175"/>
      <c r="Q724" s="1175"/>
      <c r="R724" s="1175"/>
      <c r="S724" s="1175"/>
      <c r="T724" s="1175"/>
      <c r="U724" s="1175"/>
      <c r="V724" s="1175"/>
      <c r="W724" s="1175"/>
      <c r="X724" s="1175"/>
      <c r="Y724" s="1175"/>
      <c r="Z724" s="1175"/>
      <c r="AA724" s="1176"/>
      <c r="AB724" s="1176"/>
      <c r="AC724" s="1176"/>
    </row>
    <row r="725" spans="2:29">
      <c r="B725" s="1175">
        <v>690793435</v>
      </c>
      <c r="C725" s="1175" t="s">
        <v>966</v>
      </c>
      <c r="D725" s="1175" t="s">
        <v>2004</v>
      </c>
      <c r="F725" s="1175">
        <v>850020421</v>
      </c>
      <c r="G725" s="1175" t="s">
        <v>1430</v>
      </c>
      <c r="H725" s="1178" t="s">
        <v>1881</v>
      </c>
      <c r="I725" s="1178"/>
      <c r="J725" s="1178"/>
      <c r="K725" s="1178"/>
      <c r="P725" s="1175"/>
      <c r="Q725" s="1175"/>
      <c r="R725" s="1175"/>
      <c r="S725" s="1175"/>
      <c r="T725" s="1175"/>
      <c r="U725" s="1175"/>
      <c r="V725" s="1175"/>
      <c r="W725" s="1175"/>
      <c r="X725" s="1175"/>
      <c r="Y725" s="1175"/>
      <c r="Z725" s="1175"/>
      <c r="AA725" s="1176"/>
      <c r="AB725" s="1176"/>
      <c r="AC725" s="1176"/>
    </row>
    <row r="726" spans="2:29">
      <c r="B726" s="1175">
        <v>690793435</v>
      </c>
      <c r="C726" s="1175" t="s">
        <v>966</v>
      </c>
      <c r="D726" s="1175" t="s">
        <v>2004</v>
      </c>
      <c r="F726" s="1175">
        <v>850025420</v>
      </c>
      <c r="G726" s="1175" t="s">
        <v>1431</v>
      </c>
      <c r="H726" s="1178" t="s">
        <v>1882</v>
      </c>
      <c r="I726" s="1178"/>
      <c r="J726" s="1178"/>
      <c r="K726" s="1178"/>
      <c r="P726" s="1175"/>
      <c r="Q726" s="1175"/>
      <c r="R726" s="1175"/>
      <c r="S726" s="1175"/>
      <c r="T726" s="1175"/>
      <c r="U726" s="1175"/>
      <c r="V726" s="1175"/>
      <c r="W726" s="1175"/>
      <c r="X726" s="1175"/>
      <c r="Y726" s="1175"/>
      <c r="Z726" s="1175"/>
      <c r="AA726" s="1176"/>
      <c r="AB726" s="1176"/>
      <c r="AC726" s="1176"/>
    </row>
    <row r="727" spans="2:29">
      <c r="B727" s="1175">
        <v>720008804</v>
      </c>
      <c r="C727" s="1175" t="s">
        <v>976</v>
      </c>
      <c r="D727" s="1175" t="s">
        <v>2065</v>
      </c>
      <c r="F727" s="1175">
        <v>720002013</v>
      </c>
      <c r="G727" s="1175" t="s">
        <v>1432</v>
      </c>
      <c r="H727" s="1178" t="s">
        <v>1862</v>
      </c>
      <c r="I727" s="1178"/>
      <c r="J727" s="1178"/>
      <c r="K727" s="1178"/>
      <c r="P727" s="1175"/>
      <c r="Q727" s="1175"/>
      <c r="R727" s="1175"/>
      <c r="S727" s="1175"/>
      <c r="T727" s="1175"/>
      <c r="U727" s="1175"/>
      <c r="V727" s="1175"/>
      <c r="W727" s="1175"/>
      <c r="X727" s="1175"/>
      <c r="Y727" s="1175"/>
      <c r="Z727" s="1175"/>
      <c r="AA727" s="1176"/>
      <c r="AB727" s="1176"/>
      <c r="AC727" s="1176"/>
    </row>
    <row r="728" spans="2:29">
      <c r="B728" s="1175">
        <v>720008804</v>
      </c>
      <c r="C728" s="1175" t="s">
        <v>976</v>
      </c>
      <c r="D728" s="1175" t="s">
        <v>2065</v>
      </c>
      <c r="F728" s="1175">
        <v>720002013</v>
      </c>
      <c r="G728" s="1175" t="s">
        <v>1432</v>
      </c>
      <c r="H728" s="1178" t="s">
        <v>1862</v>
      </c>
      <c r="I728" s="1178"/>
      <c r="J728" s="1178"/>
      <c r="K728" s="1178"/>
      <c r="P728" s="1175"/>
      <c r="Q728" s="1175"/>
      <c r="R728" s="1175"/>
      <c r="S728" s="1175"/>
      <c r="T728" s="1175"/>
      <c r="U728" s="1175"/>
      <c r="V728" s="1175"/>
      <c r="W728" s="1175"/>
      <c r="X728" s="1175"/>
      <c r="Y728" s="1175"/>
      <c r="Z728" s="1175"/>
      <c r="AA728" s="1176"/>
      <c r="AB728" s="1176"/>
      <c r="AC728" s="1176"/>
    </row>
    <row r="729" spans="2:29">
      <c r="B729" s="1175">
        <v>720008804</v>
      </c>
      <c r="C729" s="1175" t="s">
        <v>976</v>
      </c>
      <c r="D729" s="1175" t="s">
        <v>2065</v>
      </c>
      <c r="F729" s="1175">
        <v>720002013</v>
      </c>
      <c r="G729" s="1175" t="s">
        <v>1432</v>
      </c>
      <c r="H729" s="1178" t="s">
        <v>1862</v>
      </c>
      <c r="I729" s="1178"/>
      <c r="J729" s="1178"/>
      <c r="K729" s="1178"/>
      <c r="P729" s="1175"/>
      <c r="Q729" s="1175"/>
      <c r="R729" s="1175"/>
      <c r="S729" s="1175"/>
      <c r="T729" s="1175"/>
      <c r="U729" s="1175"/>
      <c r="V729" s="1175"/>
      <c r="W729" s="1175"/>
      <c r="X729" s="1175"/>
      <c r="Y729" s="1175"/>
      <c r="Z729" s="1175"/>
      <c r="AA729" s="1176"/>
      <c r="AB729" s="1176"/>
      <c r="AC729" s="1176"/>
    </row>
    <row r="730" spans="2:29">
      <c r="B730" s="1175">
        <v>720008804</v>
      </c>
      <c r="C730" s="1175" t="s">
        <v>976</v>
      </c>
      <c r="D730" s="1175" t="s">
        <v>2065</v>
      </c>
      <c r="F730" s="1175">
        <v>720007251</v>
      </c>
      <c r="G730" s="1175" t="s">
        <v>1410</v>
      </c>
      <c r="H730" s="1178" t="s">
        <v>1861</v>
      </c>
      <c r="I730" s="1178"/>
      <c r="J730" s="1178"/>
      <c r="K730" s="1178"/>
      <c r="P730" s="1175"/>
      <c r="Q730" s="1175"/>
      <c r="R730" s="1175"/>
      <c r="S730" s="1175"/>
      <c r="T730" s="1175"/>
      <c r="U730" s="1175"/>
      <c r="V730" s="1175"/>
      <c r="W730" s="1175"/>
      <c r="X730" s="1175"/>
      <c r="Y730" s="1175"/>
      <c r="Z730" s="1175"/>
      <c r="AA730" s="1176"/>
      <c r="AB730" s="1176"/>
      <c r="AC730" s="1176"/>
    </row>
    <row r="731" spans="2:29">
      <c r="B731" s="1175">
        <v>720009562</v>
      </c>
      <c r="C731" s="1175" t="s">
        <v>1029</v>
      </c>
      <c r="D731" s="1175" t="s">
        <v>2067</v>
      </c>
      <c r="F731" s="1175">
        <v>720000280</v>
      </c>
      <c r="G731" s="1175" t="s">
        <v>1414</v>
      </c>
      <c r="H731" s="1178" t="s">
        <v>1864</v>
      </c>
      <c r="I731" s="1178"/>
      <c r="J731" s="1178"/>
      <c r="K731" s="1178"/>
      <c r="P731" s="1175"/>
      <c r="Q731" s="1175"/>
      <c r="R731" s="1175"/>
      <c r="S731" s="1175"/>
      <c r="T731" s="1175"/>
      <c r="U731" s="1175"/>
      <c r="V731" s="1175"/>
      <c r="W731" s="1175"/>
      <c r="X731" s="1175"/>
      <c r="Y731" s="1175"/>
      <c r="Z731" s="1175"/>
      <c r="AA731" s="1176"/>
      <c r="AB731" s="1176"/>
      <c r="AC731" s="1176"/>
    </row>
    <row r="732" spans="2:29">
      <c r="B732" s="1175">
        <v>720009562</v>
      </c>
      <c r="C732" s="1175" t="s">
        <v>1029</v>
      </c>
      <c r="D732" s="1175" t="s">
        <v>2067</v>
      </c>
      <c r="F732" s="1175">
        <v>720000280</v>
      </c>
      <c r="G732" s="1175" t="s">
        <v>1414</v>
      </c>
      <c r="H732" s="1178" t="s">
        <v>1864</v>
      </c>
      <c r="I732" s="1178"/>
      <c r="J732" s="1178"/>
      <c r="K732" s="1178"/>
      <c r="P732" s="1175"/>
      <c r="Q732" s="1175"/>
      <c r="R732" s="1175"/>
      <c r="S732" s="1175"/>
      <c r="T732" s="1175"/>
      <c r="U732" s="1175"/>
      <c r="V732" s="1175"/>
      <c r="W732" s="1175"/>
      <c r="X732" s="1175"/>
      <c r="Y732" s="1175"/>
      <c r="Z732" s="1175"/>
      <c r="AA732" s="1176"/>
      <c r="AB732" s="1176"/>
      <c r="AC732" s="1176"/>
    </row>
    <row r="733" spans="2:29">
      <c r="B733" s="1175">
        <v>720009562</v>
      </c>
      <c r="C733" s="1175" t="s">
        <v>1029</v>
      </c>
      <c r="D733" s="1175" t="s">
        <v>2067</v>
      </c>
      <c r="F733" s="1175">
        <v>720000298</v>
      </c>
      <c r="G733" s="1175" t="s">
        <v>1433</v>
      </c>
      <c r="H733" s="1178" t="s">
        <v>1883</v>
      </c>
      <c r="I733" s="1178"/>
      <c r="J733" s="1178"/>
      <c r="K733" s="1178"/>
      <c r="P733" s="1175"/>
      <c r="Q733" s="1175"/>
      <c r="R733" s="1175"/>
      <c r="S733" s="1175"/>
      <c r="T733" s="1175"/>
      <c r="U733" s="1175"/>
      <c r="V733" s="1175"/>
      <c r="W733" s="1175"/>
      <c r="X733" s="1175"/>
      <c r="Y733" s="1175"/>
      <c r="Z733" s="1175"/>
      <c r="AA733" s="1176"/>
      <c r="AB733" s="1176"/>
      <c r="AC733" s="1176"/>
    </row>
    <row r="734" spans="2:29">
      <c r="B734" s="1175">
        <v>720009562</v>
      </c>
      <c r="C734" s="1175" t="s">
        <v>1029</v>
      </c>
      <c r="D734" s="1175" t="s">
        <v>2067</v>
      </c>
      <c r="F734" s="1175">
        <v>720000330</v>
      </c>
      <c r="G734" s="1175" t="s">
        <v>1434</v>
      </c>
      <c r="H734" s="1178" t="s">
        <v>1884</v>
      </c>
      <c r="I734" s="1178"/>
      <c r="J734" s="1178"/>
      <c r="K734" s="1178"/>
      <c r="P734" s="1175"/>
      <c r="Q734" s="1175"/>
      <c r="R734" s="1175"/>
      <c r="S734" s="1175"/>
      <c r="T734" s="1175"/>
      <c r="U734" s="1175"/>
      <c r="V734" s="1175"/>
      <c r="W734" s="1175"/>
      <c r="X734" s="1175"/>
      <c r="Y734" s="1175"/>
      <c r="Z734" s="1175"/>
      <c r="AA734" s="1176"/>
      <c r="AB734" s="1176"/>
      <c r="AC734" s="1176"/>
    </row>
    <row r="735" spans="2:29">
      <c r="B735" s="1175">
        <v>720009562</v>
      </c>
      <c r="C735" s="1175" t="s">
        <v>1029</v>
      </c>
      <c r="D735" s="1175" t="s">
        <v>2067</v>
      </c>
      <c r="F735" s="1175">
        <v>720000330</v>
      </c>
      <c r="G735" s="1175" t="s">
        <v>1434</v>
      </c>
      <c r="H735" s="1178" t="s">
        <v>1884</v>
      </c>
      <c r="I735" s="1178"/>
      <c r="J735" s="1178"/>
      <c r="K735" s="1178"/>
      <c r="P735" s="1175"/>
      <c r="Q735" s="1175"/>
      <c r="R735" s="1175"/>
      <c r="S735" s="1175"/>
      <c r="T735" s="1175"/>
      <c r="U735" s="1175"/>
      <c r="V735" s="1175"/>
      <c r="W735" s="1175"/>
      <c r="X735" s="1175"/>
      <c r="Y735" s="1175"/>
      <c r="Z735" s="1175"/>
      <c r="AA735" s="1176"/>
      <c r="AB735" s="1176"/>
      <c r="AC735" s="1176"/>
    </row>
    <row r="736" spans="2:29">
      <c r="B736" s="1175">
        <v>720009562</v>
      </c>
      <c r="C736" s="1175" t="s">
        <v>1029</v>
      </c>
      <c r="D736" s="1175" t="s">
        <v>2067</v>
      </c>
      <c r="F736" s="1175">
        <v>720007095</v>
      </c>
      <c r="G736" s="1175" t="s">
        <v>1435</v>
      </c>
      <c r="H736" s="1178" t="s">
        <v>1885</v>
      </c>
      <c r="I736" s="1178"/>
      <c r="J736" s="1178"/>
      <c r="K736" s="1178"/>
      <c r="P736" s="1175"/>
      <c r="Q736" s="1175"/>
      <c r="R736" s="1175"/>
      <c r="S736" s="1175"/>
      <c r="T736" s="1175"/>
      <c r="U736" s="1175"/>
      <c r="V736" s="1175"/>
      <c r="W736" s="1175"/>
      <c r="X736" s="1175"/>
      <c r="Y736" s="1175"/>
      <c r="Z736" s="1175"/>
      <c r="AA736" s="1176"/>
      <c r="AB736" s="1176"/>
      <c r="AC736" s="1176"/>
    </row>
    <row r="737" spans="2:29">
      <c r="B737" s="1175">
        <v>720009562</v>
      </c>
      <c r="C737" s="1175" t="s">
        <v>1029</v>
      </c>
      <c r="D737" s="1175" t="s">
        <v>2067</v>
      </c>
      <c r="F737" s="1175">
        <v>720008010</v>
      </c>
      <c r="G737" s="1175" t="s">
        <v>955</v>
      </c>
      <c r="H737" s="1178" t="s">
        <v>1886</v>
      </c>
      <c r="I737" s="1178"/>
      <c r="J737" s="1178"/>
      <c r="K737" s="1178"/>
      <c r="P737" s="1175"/>
      <c r="Q737" s="1175"/>
      <c r="R737" s="1175"/>
      <c r="S737" s="1175"/>
      <c r="T737" s="1175"/>
      <c r="U737" s="1175"/>
      <c r="V737" s="1175"/>
      <c r="W737" s="1175"/>
      <c r="X737" s="1175"/>
      <c r="Y737" s="1175"/>
      <c r="Z737" s="1175"/>
      <c r="AA737" s="1176"/>
      <c r="AB737" s="1176"/>
      <c r="AC737" s="1176"/>
    </row>
    <row r="738" spans="2:29">
      <c r="B738" s="1175">
        <v>720009562</v>
      </c>
      <c r="C738" s="1175" t="s">
        <v>1029</v>
      </c>
      <c r="D738" s="1175" t="s">
        <v>2067</v>
      </c>
      <c r="F738" s="1175">
        <v>720008291</v>
      </c>
      <c r="G738" s="1175" t="s">
        <v>1436</v>
      </c>
      <c r="H738" s="1178" t="s">
        <v>1887</v>
      </c>
      <c r="I738" s="1178"/>
      <c r="J738" s="1178"/>
      <c r="K738" s="1178"/>
      <c r="P738" s="1175"/>
      <c r="Q738" s="1175"/>
      <c r="R738" s="1175"/>
      <c r="S738" s="1175"/>
      <c r="T738" s="1175"/>
      <c r="U738" s="1175"/>
      <c r="V738" s="1175"/>
      <c r="W738" s="1175"/>
      <c r="X738" s="1175"/>
      <c r="Y738" s="1175"/>
      <c r="Z738" s="1175"/>
      <c r="AA738" s="1176"/>
      <c r="AB738" s="1176"/>
      <c r="AC738" s="1176"/>
    </row>
    <row r="739" spans="2:29">
      <c r="B739" s="1175">
        <v>720009562</v>
      </c>
      <c r="C739" s="1175" t="s">
        <v>1029</v>
      </c>
      <c r="D739" s="1175" t="s">
        <v>2067</v>
      </c>
      <c r="F739" s="1175">
        <v>720008291</v>
      </c>
      <c r="G739" s="1175" t="s">
        <v>1436</v>
      </c>
      <c r="H739" s="1178" t="s">
        <v>1887</v>
      </c>
      <c r="I739" s="1178"/>
      <c r="J739" s="1178"/>
      <c r="K739" s="1178"/>
      <c r="P739" s="1175"/>
      <c r="Q739" s="1175"/>
      <c r="R739" s="1175"/>
      <c r="S739" s="1175"/>
      <c r="T739" s="1175"/>
      <c r="U739" s="1175"/>
      <c r="V739" s="1175"/>
      <c r="W739" s="1175"/>
      <c r="X739" s="1175"/>
      <c r="Y739" s="1175"/>
      <c r="Z739" s="1175"/>
      <c r="AA739" s="1176"/>
      <c r="AB739" s="1176"/>
      <c r="AC739" s="1176"/>
    </row>
    <row r="740" spans="2:29">
      <c r="B740" s="1175">
        <v>720009562</v>
      </c>
      <c r="C740" s="1175" t="s">
        <v>1029</v>
      </c>
      <c r="D740" s="1175" t="s">
        <v>2067</v>
      </c>
      <c r="F740" s="1175">
        <v>720008309</v>
      </c>
      <c r="G740" s="1175" t="s">
        <v>1437</v>
      </c>
      <c r="H740" s="1178" t="s">
        <v>1888</v>
      </c>
      <c r="I740" s="1178"/>
      <c r="J740" s="1178"/>
      <c r="K740" s="1178"/>
      <c r="P740" s="1175"/>
      <c r="Q740" s="1175"/>
      <c r="R740" s="1175"/>
      <c r="S740" s="1175"/>
      <c r="T740" s="1175"/>
      <c r="U740" s="1175"/>
      <c r="V740" s="1175"/>
      <c r="W740" s="1175"/>
      <c r="X740" s="1175"/>
      <c r="Y740" s="1175"/>
      <c r="Z740" s="1175"/>
      <c r="AA740" s="1176"/>
      <c r="AB740" s="1176"/>
      <c r="AC740" s="1176"/>
    </row>
    <row r="741" spans="2:29">
      <c r="B741" s="1175">
        <v>720009562</v>
      </c>
      <c r="C741" s="1175" t="s">
        <v>1029</v>
      </c>
      <c r="D741" s="1175" t="s">
        <v>2067</v>
      </c>
      <c r="F741" s="1175">
        <v>720014562</v>
      </c>
      <c r="G741" s="1175" t="s">
        <v>1438</v>
      </c>
      <c r="H741" s="1178" t="s">
        <v>1889</v>
      </c>
      <c r="I741" s="1178"/>
      <c r="J741" s="1178"/>
      <c r="K741" s="1178"/>
      <c r="P741" s="1175"/>
      <c r="Q741" s="1175"/>
      <c r="R741" s="1175"/>
      <c r="S741" s="1175"/>
      <c r="T741" s="1175"/>
      <c r="U741" s="1175"/>
      <c r="V741" s="1175"/>
      <c r="W741" s="1175"/>
      <c r="X741" s="1175"/>
      <c r="Y741" s="1175"/>
      <c r="Z741" s="1175"/>
      <c r="AA741" s="1176"/>
      <c r="AB741" s="1176"/>
      <c r="AC741" s="1176"/>
    </row>
    <row r="742" spans="2:29">
      <c r="B742" s="1175">
        <v>720009562</v>
      </c>
      <c r="C742" s="1175" t="s">
        <v>1029</v>
      </c>
      <c r="D742" s="1175" t="s">
        <v>2067</v>
      </c>
      <c r="F742" s="1175">
        <v>720014562</v>
      </c>
      <c r="G742" s="1175" t="s">
        <v>1438</v>
      </c>
      <c r="H742" s="1178" t="s">
        <v>1889</v>
      </c>
      <c r="I742" s="1178"/>
      <c r="J742" s="1178"/>
      <c r="K742" s="1178"/>
      <c r="P742" s="1175"/>
      <c r="Q742" s="1175"/>
      <c r="R742" s="1175"/>
      <c r="S742" s="1175"/>
      <c r="T742" s="1175"/>
      <c r="U742" s="1175"/>
      <c r="V742" s="1175"/>
      <c r="W742" s="1175"/>
      <c r="X742" s="1175"/>
      <c r="Y742" s="1175"/>
      <c r="Z742" s="1175"/>
      <c r="AA742" s="1176"/>
      <c r="AB742" s="1176"/>
      <c r="AC742" s="1176"/>
    </row>
    <row r="743" spans="2:29">
      <c r="B743" s="1175">
        <v>720009562</v>
      </c>
      <c r="C743" s="1175" t="s">
        <v>1029</v>
      </c>
      <c r="D743" s="1175" t="s">
        <v>2067</v>
      </c>
      <c r="F743" s="1175">
        <v>720014562</v>
      </c>
      <c r="G743" s="1175" t="s">
        <v>1438</v>
      </c>
      <c r="H743" s="1178" t="s">
        <v>1889</v>
      </c>
      <c r="I743" s="1178"/>
      <c r="J743" s="1178"/>
      <c r="K743" s="1178"/>
      <c r="P743" s="1175"/>
      <c r="Q743" s="1175"/>
      <c r="R743" s="1175"/>
      <c r="S743" s="1175"/>
      <c r="T743" s="1175"/>
      <c r="U743" s="1175"/>
      <c r="V743" s="1175"/>
      <c r="W743" s="1175"/>
      <c r="X743" s="1175"/>
      <c r="Y743" s="1175"/>
      <c r="Z743" s="1175"/>
      <c r="AA743" s="1176"/>
      <c r="AB743" s="1176"/>
      <c r="AC743" s="1176"/>
    </row>
    <row r="744" spans="2:29">
      <c r="B744" s="1175">
        <v>720009562</v>
      </c>
      <c r="C744" s="1175" t="s">
        <v>1029</v>
      </c>
      <c r="D744" s="1175" t="s">
        <v>2067</v>
      </c>
      <c r="F744" s="1175">
        <v>720015338</v>
      </c>
      <c r="G744" s="1175" t="s">
        <v>1439</v>
      </c>
      <c r="H744" s="1178" t="s">
        <v>1890</v>
      </c>
      <c r="I744" s="1178"/>
      <c r="J744" s="1178"/>
      <c r="K744" s="1178"/>
      <c r="P744" s="1175"/>
      <c r="Q744" s="1175"/>
      <c r="R744" s="1175"/>
      <c r="S744" s="1175"/>
      <c r="T744" s="1175"/>
      <c r="U744" s="1175"/>
      <c r="V744" s="1175"/>
      <c r="W744" s="1175"/>
      <c r="X744" s="1175"/>
      <c r="Y744" s="1175"/>
      <c r="Z744" s="1175"/>
      <c r="AA744" s="1176"/>
      <c r="AB744" s="1176"/>
      <c r="AC744" s="1176"/>
    </row>
    <row r="745" spans="2:29">
      <c r="B745" s="1175">
        <v>720009562</v>
      </c>
      <c r="C745" s="1175" t="s">
        <v>1029</v>
      </c>
      <c r="D745" s="1175" t="s">
        <v>2067</v>
      </c>
      <c r="F745" s="1175">
        <v>720016328</v>
      </c>
      <c r="G745" s="1175" t="s">
        <v>948</v>
      </c>
      <c r="H745" s="1178" t="s">
        <v>1871</v>
      </c>
      <c r="I745" s="1178"/>
      <c r="J745" s="1178"/>
      <c r="K745" s="1178"/>
      <c r="P745" s="1175"/>
      <c r="Q745" s="1175"/>
      <c r="R745" s="1175"/>
      <c r="S745" s="1175"/>
      <c r="T745" s="1175"/>
      <c r="U745" s="1175"/>
      <c r="V745" s="1175"/>
      <c r="W745" s="1175"/>
      <c r="X745" s="1175"/>
      <c r="Y745" s="1175"/>
      <c r="Z745" s="1175"/>
      <c r="AA745" s="1176"/>
      <c r="AB745" s="1176"/>
      <c r="AC745" s="1176"/>
    </row>
    <row r="746" spans="2:29">
      <c r="B746" s="1175">
        <v>720009562</v>
      </c>
      <c r="C746" s="1175" t="s">
        <v>1029</v>
      </c>
      <c r="D746" s="1175" t="s">
        <v>2067</v>
      </c>
      <c r="F746" s="1175">
        <v>720018407</v>
      </c>
      <c r="G746" s="1175" t="s">
        <v>1423</v>
      </c>
      <c r="H746" s="1178" t="s">
        <v>1874</v>
      </c>
      <c r="I746" s="1178"/>
      <c r="J746" s="1178"/>
      <c r="K746" s="1178"/>
      <c r="P746" s="1175"/>
      <c r="Q746" s="1175"/>
      <c r="R746" s="1175"/>
      <c r="S746" s="1175"/>
      <c r="T746" s="1175"/>
      <c r="U746" s="1175"/>
      <c r="V746" s="1175"/>
      <c r="W746" s="1175"/>
      <c r="X746" s="1175"/>
      <c r="Y746" s="1175"/>
      <c r="Z746" s="1175"/>
      <c r="AA746" s="1176"/>
      <c r="AB746" s="1176"/>
      <c r="AC746" s="1176"/>
    </row>
    <row r="747" spans="2:29">
      <c r="B747" s="1175">
        <v>720009562</v>
      </c>
      <c r="C747" s="1175" t="s">
        <v>1029</v>
      </c>
      <c r="D747" s="1175" t="s">
        <v>2067</v>
      </c>
      <c r="F747" s="1175">
        <v>720018548</v>
      </c>
      <c r="G747" s="1175" t="s">
        <v>1440</v>
      </c>
      <c r="H747" s="1178" t="s">
        <v>1891</v>
      </c>
      <c r="I747" s="1178"/>
      <c r="J747" s="1178"/>
      <c r="K747" s="1178"/>
      <c r="P747" s="1175"/>
      <c r="Q747" s="1175"/>
      <c r="R747" s="1175"/>
      <c r="S747" s="1175"/>
      <c r="T747" s="1175"/>
      <c r="U747" s="1175"/>
      <c r="V747" s="1175"/>
      <c r="W747" s="1175"/>
      <c r="X747" s="1175"/>
      <c r="Y747" s="1175"/>
      <c r="Z747" s="1175"/>
      <c r="AA747" s="1176"/>
      <c r="AB747" s="1176"/>
      <c r="AC747" s="1176"/>
    </row>
    <row r="748" spans="2:29">
      <c r="B748" s="1175">
        <v>720009562</v>
      </c>
      <c r="C748" s="1175" t="s">
        <v>1029</v>
      </c>
      <c r="D748" s="1175" t="s">
        <v>2067</v>
      </c>
      <c r="F748" s="1175">
        <v>720019132</v>
      </c>
      <c r="G748" s="1175" t="s">
        <v>934</v>
      </c>
      <c r="H748" s="1178" t="s">
        <v>1892</v>
      </c>
      <c r="I748" s="1178"/>
      <c r="J748" s="1178"/>
      <c r="K748" s="1178"/>
      <c r="P748" s="1175"/>
      <c r="Q748" s="1175"/>
      <c r="R748" s="1175"/>
      <c r="S748" s="1175"/>
      <c r="T748" s="1175"/>
      <c r="U748" s="1175"/>
      <c r="V748" s="1175"/>
      <c r="W748" s="1175"/>
      <c r="X748" s="1175"/>
      <c r="Y748" s="1175"/>
      <c r="Z748" s="1175"/>
      <c r="AA748" s="1176"/>
      <c r="AB748" s="1176"/>
      <c r="AC748" s="1176"/>
    </row>
    <row r="749" spans="2:29">
      <c r="B749" s="1175">
        <v>720009562</v>
      </c>
      <c r="C749" s="1175" t="s">
        <v>1029</v>
      </c>
      <c r="D749" s="1175" t="s">
        <v>2067</v>
      </c>
      <c r="F749" s="1175">
        <v>720019140</v>
      </c>
      <c r="G749" s="1175" t="s">
        <v>1441</v>
      </c>
      <c r="H749" s="1178" t="s">
        <v>1893</v>
      </c>
      <c r="I749" s="1178"/>
      <c r="J749" s="1178"/>
      <c r="K749" s="1178"/>
      <c r="P749" s="1175"/>
      <c r="Q749" s="1175"/>
      <c r="R749" s="1175"/>
      <c r="S749" s="1175"/>
      <c r="T749" s="1175"/>
      <c r="U749" s="1175"/>
      <c r="V749" s="1175"/>
      <c r="W749" s="1175"/>
      <c r="X749" s="1175"/>
      <c r="Y749" s="1175"/>
      <c r="Z749" s="1175"/>
      <c r="AA749" s="1176"/>
      <c r="AB749" s="1176"/>
      <c r="AC749" s="1176"/>
    </row>
    <row r="750" spans="2:29">
      <c r="B750" s="1175">
        <v>720009562</v>
      </c>
      <c r="C750" s="1175" t="s">
        <v>1029</v>
      </c>
      <c r="D750" s="1175" t="s">
        <v>2067</v>
      </c>
      <c r="F750" s="1175">
        <v>720020403</v>
      </c>
      <c r="G750" s="1175" t="s">
        <v>1442</v>
      </c>
      <c r="H750" s="1178" t="s">
        <v>1894</v>
      </c>
      <c r="I750" s="1178"/>
      <c r="J750" s="1178"/>
      <c r="K750" s="1178"/>
      <c r="P750" s="1175"/>
      <c r="Q750" s="1175"/>
      <c r="R750" s="1175"/>
      <c r="S750" s="1175"/>
      <c r="T750" s="1175"/>
      <c r="U750" s="1175"/>
      <c r="V750" s="1175"/>
      <c r="W750" s="1175"/>
      <c r="X750" s="1175"/>
      <c r="Y750" s="1175"/>
      <c r="Z750" s="1175"/>
      <c r="AA750" s="1176"/>
      <c r="AB750" s="1176"/>
      <c r="AC750" s="1176"/>
    </row>
    <row r="751" spans="2:29">
      <c r="B751" s="1175">
        <v>750720591</v>
      </c>
      <c r="C751" s="1175" t="s">
        <v>1425</v>
      </c>
      <c r="D751" s="1175" t="s">
        <v>2070</v>
      </c>
      <c r="F751" s="1175">
        <v>720005743</v>
      </c>
      <c r="G751" s="1175" t="s">
        <v>1426</v>
      </c>
      <c r="H751" s="1178" t="s">
        <v>1877</v>
      </c>
      <c r="I751" s="1178"/>
      <c r="J751" s="1178"/>
      <c r="K751" s="1178"/>
      <c r="P751" s="1175"/>
      <c r="Q751" s="1175"/>
      <c r="R751" s="1175"/>
      <c r="S751" s="1175"/>
      <c r="T751" s="1175"/>
      <c r="U751" s="1175"/>
      <c r="V751" s="1175"/>
      <c r="W751" s="1175"/>
      <c r="X751" s="1175"/>
      <c r="Y751" s="1175"/>
      <c r="Z751" s="1175"/>
      <c r="AA751" s="1176"/>
      <c r="AB751" s="1176"/>
      <c r="AC751" s="1176"/>
    </row>
    <row r="752" spans="2:29">
      <c r="B752" s="1175">
        <v>750720591</v>
      </c>
      <c r="C752" s="1175" t="s">
        <v>1425</v>
      </c>
      <c r="D752" s="1175" t="s">
        <v>2070</v>
      </c>
      <c r="F752" s="1175">
        <v>720005743</v>
      </c>
      <c r="G752" s="1175" t="s">
        <v>1426</v>
      </c>
      <c r="H752" s="1178" t="s">
        <v>1877</v>
      </c>
      <c r="I752" s="1178"/>
      <c r="J752" s="1178"/>
      <c r="K752" s="1178"/>
      <c r="P752" s="1175"/>
      <c r="Q752" s="1175"/>
      <c r="R752" s="1175"/>
      <c r="S752" s="1175"/>
      <c r="T752" s="1175"/>
      <c r="U752" s="1175"/>
      <c r="V752" s="1175"/>
      <c r="W752" s="1175"/>
      <c r="X752" s="1175"/>
      <c r="Y752" s="1175"/>
      <c r="Z752" s="1175"/>
      <c r="AA752" s="1176"/>
      <c r="AB752" s="1176"/>
      <c r="AC752" s="1176"/>
    </row>
    <row r="753" spans="2:29">
      <c r="B753" s="1175">
        <v>930019484</v>
      </c>
      <c r="C753" s="1175" t="s">
        <v>1060</v>
      </c>
      <c r="D753" s="1175" t="s">
        <v>2052</v>
      </c>
      <c r="F753" s="1175">
        <v>720008465</v>
      </c>
      <c r="G753" s="1175" t="s">
        <v>1427</v>
      </c>
      <c r="H753" s="1178" t="s">
        <v>1846</v>
      </c>
      <c r="I753" s="1178"/>
      <c r="J753" s="1178"/>
      <c r="K753" s="1178"/>
      <c r="P753" s="1175"/>
      <c r="Q753" s="1175"/>
      <c r="R753" s="1175"/>
      <c r="S753" s="1175"/>
      <c r="T753" s="1175"/>
      <c r="U753" s="1175"/>
      <c r="V753" s="1175"/>
      <c r="W753" s="1175"/>
      <c r="X753" s="1175"/>
      <c r="Y753" s="1175"/>
      <c r="Z753" s="1175"/>
      <c r="AA753" s="1176"/>
      <c r="AB753" s="1176"/>
      <c r="AC753" s="1176"/>
    </row>
    <row r="754" spans="2:29">
      <c r="B754" s="1175">
        <v>930019484</v>
      </c>
      <c r="C754" s="1175" t="s">
        <v>1060</v>
      </c>
      <c r="D754" s="1175" t="s">
        <v>2052</v>
      </c>
      <c r="F754" s="1175">
        <v>720008465</v>
      </c>
      <c r="G754" s="1175" t="s">
        <v>1427</v>
      </c>
      <c r="H754" s="1178" t="s">
        <v>1846</v>
      </c>
      <c r="I754" s="1178"/>
      <c r="J754" s="1178"/>
      <c r="K754" s="1178"/>
      <c r="P754" s="1175"/>
      <c r="Q754" s="1175"/>
      <c r="R754" s="1175"/>
      <c r="S754" s="1175"/>
      <c r="T754" s="1175"/>
      <c r="U754" s="1175"/>
      <c r="V754" s="1175"/>
      <c r="W754" s="1175"/>
      <c r="X754" s="1175"/>
      <c r="Y754" s="1175"/>
      <c r="Z754" s="1175"/>
      <c r="AA754" s="1176"/>
      <c r="AB754" s="1176"/>
      <c r="AC754" s="1176"/>
    </row>
    <row r="755" spans="2:29">
      <c r="B755" s="1175">
        <v>440042844</v>
      </c>
      <c r="C755" s="1175" t="s">
        <v>1067</v>
      </c>
      <c r="D755" s="1175" t="s">
        <v>2013</v>
      </c>
      <c r="F755" s="1175">
        <v>850016700</v>
      </c>
      <c r="G755" s="1175" t="s">
        <v>1443</v>
      </c>
      <c r="H755" s="1178" t="s">
        <v>1895</v>
      </c>
      <c r="I755" s="1178"/>
      <c r="J755" s="1178"/>
      <c r="K755" s="1178"/>
      <c r="P755" s="1175"/>
      <c r="Q755" s="1175"/>
      <c r="R755" s="1175"/>
      <c r="S755" s="1175"/>
      <c r="T755" s="1175"/>
      <c r="U755" s="1175"/>
      <c r="V755" s="1175"/>
      <c r="W755" s="1175"/>
      <c r="X755" s="1175"/>
      <c r="Y755" s="1175"/>
      <c r="Z755" s="1175"/>
      <c r="AA755" s="1176"/>
      <c r="AB755" s="1176"/>
      <c r="AC755" s="1176"/>
    </row>
    <row r="756" spans="2:29">
      <c r="B756" s="1175">
        <v>490020310</v>
      </c>
      <c r="C756" s="1175" t="s">
        <v>2091</v>
      </c>
      <c r="D756" s="1175" t="s">
        <v>2002</v>
      </c>
      <c r="F756" s="1175">
        <v>850003070</v>
      </c>
      <c r="G756" s="1175" t="s">
        <v>1444</v>
      </c>
      <c r="H756" s="1178" t="s">
        <v>1896</v>
      </c>
      <c r="I756" s="1178"/>
      <c r="J756" s="1178"/>
      <c r="K756" s="1178"/>
      <c r="P756" s="1175"/>
      <c r="Q756" s="1175"/>
      <c r="R756" s="1175"/>
      <c r="S756" s="1175"/>
      <c r="T756" s="1175"/>
      <c r="U756" s="1175"/>
      <c r="V756" s="1175"/>
      <c r="W756" s="1175"/>
      <c r="X756" s="1175"/>
      <c r="Y756" s="1175"/>
      <c r="Z756" s="1175"/>
      <c r="AA756" s="1176"/>
      <c r="AB756" s="1176"/>
      <c r="AC756" s="1176"/>
    </row>
    <row r="757" spans="2:29">
      <c r="B757" s="1175">
        <v>590799730</v>
      </c>
      <c r="C757" s="1175" t="s">
        <v>1429</v>
      </c>
      <c r="D757" s="1175" t="s">
        <v>2071</v>
      </c>
      <c r="F757" s="1175">
        <v>850019696</v>
      </c>
      <c r="G757" s="1175" t="s">
        <v>929</v>
      </c>
      <c r="H757" s="1178" t="s">
        <v>1879</v>
      </c>
      <c r="I757" s="1178"/>
      <c r="J757" s="1178"/>
      <c r="K757" s="1178"/>
      <c r="P757" s="1175"/>
      <c r="Q757" s="1175"/>
      <c r="R757" s="1175"/>
      <c r="S757" s="1175"/>
      <c r="T757" s="1175"/>
      <c r="U757" s="1175"/>
      <c r="V757" s="1175"/>
      <c r="W757" s="1175"/>
      <c r="X757" s="1175"/>
      <c r="Y757" s="1175"/>
      <c r="Z757" s="1175"/>
      <c r="AA757" s="1176"/>
      <c r="AB757" s="1176"/>
      <c r="AC757" s="1176"/>
    </row>
    <row r="758" spans="2:29">
      <c r="B758" s="1175">
        <v>590799730</v>
      </c>
      <c r="C758" s="1175" t="s">
        <v>1429</v>
      </c>
      <c r="D758" s="1175" t="s">
        <v>2071</v>
      </c>
      <c r="F758" s="1175">
        <v>850019696</v>
      </c>
      <c r="G758" s="1175" t="s">
        <v>929</v>
      </c>
      <c r="H758" s="1178" t="s">
        <v>1879</v>
      </c>
      <c r="I758" s="1178"/>
      <c r="J758" s="1178"/>
      <c r="K758" s="1178"/>
      <c r="P758" s="1175"/>
      <c r="Q758" s="1175"/>
      <c r="R758" s="1175"/>
      <c r="S758" s="1175"/>
      <c r="T758" s="1175"/>
      <c r="U758" s="1175"/>
      <c r="V758" s="1175"/>
      <c r="W758" s="1175"/>
      <c r="X758" s="1175"/>
      <c r="Y758" s="1175"/>
      <c r="Z758" s="1175"/>
      <c r="AA758" s="1176"/>
      <c r="AB758" s="1176"/>
      <c r="AC758" s="1176"/>
    </row>
    <row r="759" spans="2:29">
      <c r="B759" s="1175">
        <v>690793435</v>
      </c>
      <c r="C759" s="1175" t="s">
        <v>966</v>
      </c>
      <c r="D759" s="1175" t="s">
        <v>2004</v>
      </c>
      <c r="F759" s="1175">
        <v>850025420</v>
      </c>
      <c r="G759" s="1175" t="s">
        <v>1431</v>
      </c>
      <c r="H759" s="1178" t="s">
        <v>1882</v>
      </c>
      <c r="I759" s="1178"/>
      <c r="J759" s="1178"/>
      <c r="K759" s="1178"/>
      <c r="P759" s="1175"/>
      <c r="Q759" s="1175"/>
      <c r="R759" s="1175"/>
      <c r="S759" s="1175"/>
      <c r="T759" s="1175"/>
      <c r="U759" s="1175"/>
      <c r="V759" s="1175"/>
      <c r="W759" s="1175"/>
      <c r="X759" s="1175"/>
      <c r="Y759" s="1175"/>
      <c r="Z759" s="1175"/>
      <c r="AA759" s="1176"/>
      <c r="AB759" s="1176"/>
      <c r="AC759" s="1176"/>
    </row>
    <row r="760" spans="2:29">
      <c r="B760" s="1175">
        <v>690793435</v>
      </c>
      <c r="C760" s="1175" t="s">
        <v>966</v>
      </c>
      <c r="D760" s="1175" t="s">
        <v>2004</v>
      </c>
      <c r="F760" s="1175">
        <v>850025420</v>
      </c>
      <c r="G760" s="1175" t="s">
        <v>1431</v>
      </c>
      <c r="H760" s="1178" t="s">
        <v>1882</v>
      </c>
      <c r="I760" s="1178"/>
      <c r="J760" s="1178"/>
      <c r="K760" s="1178"/>
      <c r="P760" s="1175"/>
      <c r="Q760" s="1175"/>
      <c r="R760" s="1175"/>
      <c r="S760" s="1175"/>
      <c r="T760" s="1175"/>
      <c r="U760" s="1175"/>
      <c r="V760" s="1175"/>
      <c r="W760" s="1175"/>
      <c r="X760" s="1175"/>
      <c r="Y760" s="1175"/>
      <c r="Z760" s="1175"/>
      <c r="AA760" s="1176"/>
      <c r="AB760" s="1176"/>
      <c r="AC760" s="1176"/>
    </row>
    <row r="761" spans="2:29">
      <c r="B761" s="1175">
        <v>850000084</v>
      </c>
      <c r="C761" s="1175" t="s">
        <v>1445</v>
      </c>
      <c r="D761" s="1175" t="s">
        <v>2072</v>
      </c>
      <c r="F761" s="1175">
        <v>850025057</v>
      </c>
      <c r="G761" s="1175" t="s">
        <v>977</v>
      </c>
      <c r="H761" s="1178" t="s">
        <v>1897</v>
      </c>
      <c r="I761" s="1178"/>
      <c r="J761" s="1178"/>
      <c r="K761" s="1178"/>
      <c r="P761" s="1175"/>
      <c r="Q761" s="1175"/>
      <c r="R761" s="1175"/>
      <c r="S761" s="1175"/>
      <c r="T761" s="1175"/>
      <c r="U761" s="1175"/>
      <c r="V761" s="1175"/>
      <c r="W761" s="1175"/>
      <c r="X761" s="1175"/>
      <c r="Y761" s="1175"/>
      <c r="Z761" s="1175"/>
      <c r="AA761" s="1176"/>
      <c r="AB761" s="1176"/>
      <c r="AC761" s="1176"/>
    </row>
    <row r="762" spans="2:29">
      <c r="B762" s="1175">
        <v>850000084</v>
      </c>
      <c r="C762" s="1175" t="s">
        <v>1445</v>
      </c>
      <c r="D762" s="1175" t="s">
        <v>2072</v>
      </c>
      <c r="F762" s="1175">
        <v>850025057</v>
      </c>
      <c r="G762" s="1175" t="s">
        <v>977</v>
      </c>
      <c r="H762" s="1178" t="s">
        <v>1897</v>
      </c>
      <c r="I762" s="1178"/>
      <c r="J762" s="1178"/>
      <c r="K762" s="1178"/>
      <c r="P762" s="1175"/>
      <c r="Q762" s="1175"/>
      <c r="R762" s="1175"/>
      <c r="S762" s="1175"/>
      <c r="T762" s="1175"/>
      <c r="U762" s="1175"/>
      <c r="V762" s="1175"/>
      <c r="W762" s="1175"/>
      <c r="X762" s="1175"/>
      <c r="Y762" s="1175"/>
      <c r="Z762" s="1175"/>
      <c r="AA762" s="1176"/>
      <c r="AB762" s="1176"/>
      <c r="AC762" s="1176"/>
    </row>
    <row r="763" spans="2:29">
      <c r="B763" s="1175">
        <v>850000084</v>
      </c>
      <c r="C763" s="1175" t="s">
        <v>1445</v>
      </c>
      <c r="D763" s="1175" t="s">
        <v>2072</v>
      </c>
      <c r="F763" s="1175">
        <v>850025057</v>
      </c>
      <c r="G763" s="1175" t="s">
        <v>977</v>
      </c>
      <c r="H763" s="1178" t="s">
        <v>1897</v>
      </c>
      <c r="I763" s="1178"/>
      <c r="J763" s="1178"/>
      <c r="K763" s="1178"/>
      <c r="P763" s="1175"/>
      <c r="Q763" s="1175"/>
      <c r="R763" s="1175"/>
      <c r="S763" s="1175"/>
      <c r="T763" s="1175"/>
      <c r="U763" s="1175"/>
      <c r="V763" s="1175"/>
      <c r="W763" s="1175"/>
      <c r="X763" s="1175"/>
      <c r="Y763" s="1175"/>
      <c r="Z763" s="1175"/>
      <c r="AA763" s="1176"/>
      <c r="AB763" s="1176"/>
      <c r="AC763" s="1176"/>
    </row>
    <row r="764" spans="2:29">
      <c r="B764" s="1175">
        <v>850000092</v>
      </c>
      <c r="C764" s="1175" t="s">
        <v>1041</v>
      </c>
      <c r="D764" s="1175" t="s">
        <v>2073</v>
      </c>
      <c r="F764" s="1175">
        <v>850009168</v>
      </c>
      <c r="G764" s="1175" t="s">
        <v>1089</v>
      </c>
      <c r="H764" s="1178" t="s">
        <v>1898</v>
      </c>
      <c r="I764" s="1178"/>
      <c r="J764" s="1178"/>
      <c r="K764" s="1178"/>
      <c r="P764" s="1175"/>
      <c r="Q764" s="1175"/>
      <c r="R764" s="1175"/>
      <c r="S764" s="1175"/>
      <c r="T764" s="1175"/>
      <c r="U764" s="1175"/>
      <c r="V764" s="1175"/>
      <c r="W764" s="1175"/>
      <c r="X764" s="1175"/>
      <c r="Y764" s="1175"/>
      <c r="Z764" s="1175"/>
      <c r="AA764" s="1176"/>
      <c r="AB764" s="1176"/>
      <c r="AC764" s="1176"/>
    </row>
    <row r="765" spans="2:29">
      <c r="B765" s="1175">
        <v>850000092</v>
      </c>
      <c r="C765" s="1175" t="s">
        <v>1041</v>
      </c>
      <c r="D765" s="1175" t="s">
        <v>2073</v>
      </c>
      <c r="F765" s="1175">
        <v>850017906</v>
      </c>
      <c r="G765" s="1175" t="s">
        <v>1446</v>
      </c>
      <c r="H765" s="1178" t="s">
        <v>1899</v>
      </c>
      <c r="I765" s="1178"/>
      <c r="J765" s="1178"/>
      <c r="K765" s="1178"/>
      <c r="P765" s="1175"/>
      <c r="Q765" s="1175"/>
      <c r="R765" s="1175"/>
      <c r="S765" s="1175"/>
      <c r="T765" s="1175"/>
      <c r="U765" s="1175"/>
      <c r="V765" s="1175"/>
      <c r="W765" s="1175"/>
      <c r="X765" s="1175"/>
      <c r="Y765" s="1175"/>
      <c r="Z765" s="1175"/>
      <c r="AA765" s="1176"/>
      <c r="AB765" s="1176"/>
      <c r="AC765" s="1176"/>
    </row>
    <row r="766" spans="2:29">
      <c r="B766" s="1175">
        <v>850006347</v>
      </c>
      <c r="C766" s="1175" t="s">
        <v>1447</v>
      </c>
      <c r="D766" s="1175" t="s">
        <v>2074</v>
      </c>
      <c r="F766" s="1175">
        <v>850007618</v>
      </c>
      <c r="G766" s="1175" t="s">
        <v>1448</v>
      </c>
      <c r="H766" s="1178" t="s">
        <v>1900</v>
      </c>
      <c r="I766" s="1178"/>
      <c r="J766" s="1178"/>
      <c r="K766" s="1178"/>
      <c r="P766" s="1175"/>
      <c r="Q766" s="1175"/>
      <c r="R766" s="1175"/>
      <c r="S766" s="1175"/>
      <c r="T766" s="1175"/>
      <c r="U766" s="1175"/>
      <c r="V766" s="1175"/>
      <c r="W766" s="1175"/>
      <c r="X766" s="1175"/>
      <c r="Y766" s="1175"/>
      <c r="Z766" s="1175"/>
      <c r="AA766" s="1176"/>
      <c r="AB766" s="1176"/>
      <c r="AC766" s="1176"/>
    </row>
    <row r="767" spans="2:29">
      <c r="B767" s="1175">
        <v>850008905</v>
      </c>
      <c r="C767" s="1175" t="s">
        <v>1048</v>
      </c>
      <c r="D767" s="1175" t="s">
        <v>2075</v>
      </c>
      <c r="F767" s="1175">
        <v>850026204</v>
      </c>
      <c r="G767" s="1175" t="s">
        <v>1449</v>
      </c>
      <c r="H767" s="1178" t="s">
        <v>1901</v>
      </c>
      <c r="I767" s="1178"/>
      <c r="J767" s="1178"/>
      <c r="K767" s="1178"/>
      <c r="P767" s="1175"/>
      <c r="Q767" s="1175"/>
      <c r="R767" s="1175"/>
      <c r="S767" s="1175"/>
      <c r="T767" s="1175"/>
      <c r="U767" s="1175"/>
      <c r="V767" s="1175"/>
      <c r="W767" s="1175"/>
      <c r="X767" s="1175"/>
      <c r="Y767" s="1175"/>
      <c r="Z767" s="1175"/>
      <c r="AA767" s="1176"/>
      <c r="AB767" s="1176"/>
      <c r="AC767" s="1176"/>
    </row>
    <row r="768" spans="2:29">
      <c r="B768" s="1177">
        <v>850012436</v>
      </c>
      <c r="C768" s="1175" t="s">
        <v>1026</v>
      </c>
      <c r="D768" s="1175" t="s">
        <v>2076</v>
      </c>
      <c r="F768" s="1175">
        <v>850000217</v>
      </c>
      <c r="G768" s="1175" t="s">
        <v>1450</v>
      </c>
      <c r="H768" s="1178" t="s">
        <v>1902</v>
      </c>
      <c r="I768" s="1178"/>
      <c r="J768" s="1178"/>
      <c r="K768" s="1178"/>
      <c r="P768" s="1175"/>
      <c r="Q768" s="1175"/>
      <c r="R768" s="1175"/>
      <c r="S768" s="1175"/>
      <c r="T768" s="1175"/>
      <c r="U768" s="1175"/>
      <c r="V768" s="1175"/>
      <c r="W768" s="1175"/>
      <c r="X768" s="1175"/>
      <c r="Y768" s="1175"/>
      <c r="Z768" s="1175"/>
      <c r="AA768" s="1176"/>
      <c r="AB768" s="1176"/>
      <c r="AC768" s="1176"/>
    </row>
    <row r="769" spans="2:29">
      <c r="B769" s="1175">
        <v>850012436</v>
      </c>
      <c r="C769" s="1175" t="s">
        <v>1026</v>
      </c>
      <c r="D769" s="1175" t="s">
        <v>2076</v>
      </c>
      <c r="F769" s="1175">
        <v>850000217</v>
      </c>
      <c r="G769" s="1175" t="s">
        <v>1450</v>
      </c>
      <c r="H769" s="1178" t="s">
        <v>1902</v>
      </c>
      <c r="I769" s="1178"/>
      <c r="J769" s="1178"/>
      <c r="K769" s="1178"/>
      <c r="P769" s="1175"/>
      <c r="Q769" s="1175"/>
      <c r="R769" s="1175"/>
      <c r="S769" s="1175"/>
      <c r="T769" s="1175"/>
      <c r="U769" s="1175"/>
      <c r="V769" s="1175"/>
      <c r="W769" s="1175"/>
      <c r="X769" s="1175"/>
      <c r="Y769" s="1175"/>
      <c r="Z769" s="1175"/>
      <c r="AA769" s="1176"/>
      <c r="AB769" s="1176"/>
      <c r="AC769" s="1176"/>
    </row>
    <row r="770" spans="2:29">
      <c r="B770" s="1175">
        <v>850012436</v>
      </c>
      <c r="C770" s="1175" t="s">
        <v>1026</v>
      </c>
      <c r="D770" s="1175" t="s">
        <v>2076</v>
      </c>
      <c r="F770" s="1175">
        <v>850000274</v>
      </c>
      <c r="G770" s="1175" t="s">
        <v>1451</v>
      </c>
      <c r="H770" s="1178" t="s">
        <v>1903</v>
      </c>
      <c r="I770" s="1178"/>
      <c r="J770" s="1178"/>
      <c r="K770" s="1178"/>
      <c r="P770" s="1175"/>
      <c r="Q770" s="1175"/>
      <c r="R770" s="1175"/>
      <c r="S770" s="1175"/>
      <c r="T770" s="1175"/>
      <c r="U770" s="1175"/>
      <c r="V770" s="1175"/>
      <c r="W770" s="1175"/>
      <c r="X770" s="1175"/>
      <c r="Y770" s="1175"/>
      <c r="Z770" s="1175"/>
      <c r="AA770" s="1176"/>
      <c r="AB770" s="1176"/>
      <c r="AC770" s="1176"/>
    </row>
    <row r="771" spans="2:29">
      <c r="B771" s="1175">
        <v>850012436</v>
      </c>
      <c r="C771" s="1175" t="s">
        <v>1026</v>
      </c>
      <c r="D771" s="1175" t="s">
        <v>2076</v>
      </c>
      <c r="F771" s="1175">
        <v>850003625</v>
      </c>
      <c r="G771" s="1175" t="s">
        <v>1452</v>
      </c>
      <c r="H771" s="1178" t="s">
        <v>1904</v>
      </c>
      <c r="I771" s="1178"/>
      <c r="J771" s="1178"/>
      <c r="K771" s="1178"/>
      <c r="P771" s="1175"/>
      <c r="Q771" s="1175"/>
      <c r="R771" s="1175"/>
      <c r="S771" s="1175"/>
      <c r="T771" s="1175"/>
      <c r="U771" s="1175"/>
      <c r="V771" s="1175"/>
      <c r="W771" s="1175"/>
      <c r="X771" s="1175"/>
      <c r="Y771" s="1175"/>
      <c r="Z771" s="1175"/>
      <c r="AA771" s="1176"/>
      <c r="AB771" s="1176"/>
      <c r="AC771" s="1176"/>
    </row>
    <row r="772" spans="2:29">
      <c r="B772" s="1175">
        <v>850012436</v>
      </c>
      <c r="C772" s="1175" t="s">
        <v>1026</v>
      </c>
      <c r="D772" s="1175" t="s">
        <v>2076</v>
      </c>
      <c r="F772" s="1175">
        <v>850003633</v>
      </c>
      <c r="G772" s="1175" t="s">
        <v>1453</v>
      </c>
      <c r="H772" s="1178" t="s">
        <v>1905</v>
      </c>
      <c r="I772" s="1178"/>
      <c r="J772" s="1178"/>
      <c r="K772" s="1178"/>
      <c r="P772" s="1175"/>
      <c r="Q772" s="1175"/>
      <c r="R772" s="1175"/>
      <c r="S772" s="1175"/>
      <c r="T772" s="1175"/>
      <c r="U772" s="1175"/>
      <c r="V772" s="1175"/>
      <c r="W772" s="1175"/>
      <c r="X772" s="1175"/>
      <c r="Y772" s="1175"/>
      <c r="Z772" s="1175"/>
      <c r="AA772" s="1176"/>
      <c r="AB772" s="1176"/>
      <c r="AC772" s="1176"/>
    </row>
    <row r="773" spans="2:29">
      <c r="B773" s="1175">
        <v>850012436</v>
      </c>
      <c r="C773" s="1175" t="s">
        <v>1026</v>
      </c>
      <c r="D773" s="1175" t="s">
        <v>2076</v>
      </c>
      <c r="F773" s="1175">
        <v>850003641</v>
      </c>
      <c r="G773" s="1175" t="s">
        <v>1454</v>
      </c>
      <c r="H773" s="1178" t="s">
        <v>1906</v>
      </c>
      <c r="I773" s="1178"/>
      <c r="J773" s="1178"/>
      <c r="K773" s="1178"/>
      <c r="P773" s="1175"/>
      <c r="Q773" s="1175"/>
      <c r="R773" s="1175"/>
      <c r="S773" s="1175"/>
      <c r="T773" s="1175"/>
      <c r="U773" s="1175"/>
      <c r="V773" s="1175"/>
      <c r="W773" s="1175"/>
      <c r="X773" s="1175"/>
      <c r="Y773" s="1175"/>
      <c r="Z773" s="1175"/>
      <c r="AA773" s="1176"/>
      <c r="AB773" s="1176"/>
      <c r="AC773" s="1176"/>
    </row>
    <row r="774" spans="2:29">
      <c r="B774" s="1175">
        <v>850012436</v>
      </c>
      <c r="C774" s="1175" t="s">
        <v>1026</v>
      </c>
      <c r="D774" s="1175" t="s">
        <v>2076</v>
      </c>
      <c r="F774" s="1175">
        <v>850003641</v>
      </c>
      <c r="G774" s="1175" t="s">
        <v>1454</v>
      </c>
      <c r="H774" s="1178" t="s">
        <v>1906</v>
      </c>
      <c r="I774" s="1178"/>
      <c r="J774" s="1178"/>
      <c r="K774" s="1178"/>
      <c r="P774" s="1175"/>
      <c r="Q774" s="1175"/>
      <c r="R774" s="1175"/>
      <c r="S774" s="1175"/>
      <c r="T774" s="1175"/>
      <c r="U774" s="1175"/>
      <c r="V774" s="1175"/>
      <c r="W774" s="1175"/>
      <c r="X774" s="1175"/>
      <c r="Y774" s="1175"/>
      <c r="Z774" s="1175"/>
      <c r="AA774" s="1176"/>
      <c r="AB774" s="1176"/>
      <c r="AC774" s="1176"/>
    </row>
    <row r="775" spans="2:29">
      <c r="B775" s="1175">
        <v>850012436</v>
      </c>
      <c r="C775" s="1175" t="s">
        <v>1026</v>
      </c>
      <c r="D775" s="1175" t="s">
        <v>2076</v>
      </c>
      <c r="F775" s="1175">
        <v>850006529</v>
      </c>
      <c r="G775" s="1175" t="s">
        <v>1455</v>
      </c>
      <c r="H775" s="1178" t="s">
        <v>1907</v>
      </c>
      <c r="I775" s="1178"/>
      <c r="J775" s="1178"/>
      <c r="K775" s="1178"/>
      <c r="P775" s="1175"/>
      <c r="Q775" s="1175"/>
      <c r="R775" s="1175"/>
      <c r="S775" s="1175"/>
      <c r="T775" s="1175"/>
      <c r="U775" s="1175"/>
      <c r="V775" s="1175"/>
      <c r="W775" s="1175"/>
      <c r="X775" s="1175"/>
      <c r="Y775" s="1175"/>
      <c r="Z775" s="1175"/>
      <c r="AA775" s="1176"/>
      <c r="AB775" s="1176"/>
      <c r="AC775" s="1176"/>
    </row>
    <row r="776" spans="2:29">
      <c r="B776" s="1175">
        <v>850012436</v>
      </c>
      <c r="C776" s="1175" t="s">
        <v>1026</v>
      </c>
      <c r="D776" s="1175" t="s">
        <v>2076</v>
      </c>
      <c r="F776" s="1175">
        <v>850008707</v>
      </c>
      <c r="G776" s="1175" t="s">
        <v>1456</v>
      </c>
      <c r="H776" s="1178" t="s">
        <v>1908</v>
      </c>
      <c r="I776" s="1178"/>
      <c r="J776" s="1178"/>
      <c r="K776" s="1178"/>
      <c r="P776" s="1175"/>
      <c r="Q776" s="1175"/>
      <c r="R776" s="1175"/>
      <c r="S776" s="1175"/>
      <c r="T776" s="1175"/>
      <c r="U776" s="1175"/>
      <c r="V776" s="1175"/>
      <c r="W776" s="1175"/>
      <c r="X776" s="1175"/>
      <c r="Y776" s="1175"/>
      <c r="Z776" s="1175"/>
      <c r="AA776" s="1176"/>
      <c r="AB776" s="1176"/>
      <c r="AC776" s="1176"/>
    </row>
    <row r="777" spans="2:29">
      <c r="B777" s="1175">
        <v>850012436</v>
      </c>
      <c r="C777" s="1175" t="s">
        <v>1026</v>
      </c>
      <c r="D777" s="1175" t="s">
        <v>2076</v>
      </c>
      <c r="F777" s="1175">
        <v>850008707</v>
      </c>
      <c r="G777" s="1175" t="s">
        <v>1456</v>
      </c>
      <c r="H777" s="1178" t="s">
        <v>1908</v>
      </c>
      <c r="I777" s="1178"/>
      <c r="J777" s="1178"/>
      <c r="K777" s="1178"/>
      <c r="P777" s="1175"/>
      <c r="Q777" s="1175"/>
      <c r="R777" s="1175"/>
      <c r="S777" s="1175"/>
      <c r="T777" s="1175"/>
      <c r="U777" s="1175"/>
      <c r="V777" s="1175"/>
      <c r="W777" s="1175"/>
      <c r="X777" s="1175"/>
      <c r="Y777" s="1175"/>
      <c r="Z777" s="1175"/>
      <c r="AA777" s="1176"/>
      <c r="AB777" s="1176"/>
      <c r="AC777" s="1176"/>
    </row>
    <row r="778" spans="2:29">
      <c r="B778" s="1175">
        <v>850012436</v>
      </c>
      <c r="C778" s="1175" t="s">
        <v>1026</v>
      </c>
      <c r="D778" s="1175" t="s">
        <v>2076</v>
      </c>
      <c r="F778" s="1175">
        <v>850009028</v>
      </c>
      <c r="G778" s="1175" t="s">
        <v>1457</v>
      </c>
      <c r="H778" s="1178" t="s">
        <v>1909</v>
      </c>
      <c r="I778" s="1178"/>
      <c r="J778" s="1178"/>
      <c r="K778" s="1178"/>
      <c r="P778" s="1175"/>
      <c r="Q778" s="1175"/>
      <c r="R778" s="1175"/>
      <c r="S778" s="1175"/>
      <c r="T778" s="1175"/>
      <c r="U778" s="1175"/>
      <c r="V778" s="1175"/>
      <c r="W778" s="1175"/>
      <c r="X778" s="1175"/>
      <c r="Y778" s="1175"/>
      <c r="Z778" s="1175"/>
      <c r="AA778" s="1176"/>
      <c r="AB778" s="1176"/>
      <c r="AC778" s="1176"/>
    </row>
    <row r="779" spans="2:29">
      <c r="B779" s="1175">
        <v>850012436</v>
      </c>
      <c r="C779" s="1175" t="s">
        <v>1026</v>
      </c>
      <c r="D779" s="1175" t="s">
        <v>2076</v>
      </c>
      <c r="F779" s="1175">
        <v>850010216</v>
      </c>
      <c r="G779" s="1175" t="s">
        <v>1458</v>
      </c>
      <c r="H779" s="1178" t="s">
        <v>1907</v>
      </c>
      <c r="I779" s="1178"/>
      <c r="J779" s="1178"/>
      <c r="K779" s="1178"/>
      <c r="P779" s="1175"/>
      <c r="Q779" s="1175"/>
      <c r="R779" s="1175"/>
      <c r="S779" s="1175"/>
      <c r="T779" s="1175"/>
      <c r="U779" s="1175"/>
      <c r="V779" s="1175"/>
      <c r="W779" s="1175"/>
      <c r="X779" s="1175"/>
      <c r="Y779" s="1175"/>
      <c r="Z779" s="1175"/>
      <c r="AA779" s="1176"/>
      <c r="AB779" s="1176"/>
      <c r="AC779" s="1176"/>
    </row>
    <row r="780" spans="2:29">
      <c r="B780" s="1175">
        <v>850012436</v>
      </c>
      <c r="C780" s="1175" t="s">
        <v>1026</v>
      </c>
      <c r="D780" s="1175" t="s">
        <v>2076</v>
      </c>
      <c r="F780" s="1175">
        <v>850010224</v>
      </c>
      <c r="G780" s="1175" t="s">
        <v>1459</v>
      </c>
      <c r="H780" s="1178" t="s">
        <v>1906</v>
      </c>
      <c r="I780" s="1178"/>
      <c r="J780" s="1178"/>
      <c r="K780" s="1178"/>
      <c r="P780" s="1175"/>
      <c r="Q780" s="1175"/>
      <c r="R780" s="1175"/>
      <c r="S780" s="1175"/>
      <c r="T780" s="1175"/>
      <c r="U780" s="1175"/>
      <c r="V780" s="1175"/>
      <c r="W780" s="1175"/>
      <c r="X780" s="1175"/>
      <c r="Y780" s="1175"/>
      <c r="Z780" s="1175"/>
      <c r="AA780" s="1176"/>
      <c r="AB780" s="1176"/>
      <c r="AC780" s="1176"/>
    </row>
    <row r="781" spans="2:29">
      <c r="B781" s="1175">
        <v>850012436</v>
      </c>
      <c r="C781" s="1175" t="s">
        <v>1026</v>
      </c>
      <c r="D781" s="1175" t="s">
        <v>2076</v>
      </c>
      <c r="F781" s="1175">
        <v>850010232</v>
      </c>
      <c r="G781" s="1175" t="s">
        <v>1460</v>
      </c>
      <c r="H781" s="1178" t="s">
        <v>1904</v>
      </c>
      <c r="I781" s="1178"/>
      <c r="J781" s="1178"/>
      <c r="K781" s="1178"/>
      <c r="P781" s="1175"/>
      <c r="Q781" s="1175"/>
      <c r="R781" s="1175"/>
      <c r="S781" s="1175"/>
      <c r="T781" s="1175"/>
      <c r="U781" s="1175"/>
      <c r="V781" s="1175"/>
      <c r="W781" s="1175"/>
      <c r="X781" s="1175"/>
      <c r="Y781" s="1175"/>
      <c r="Z781" s="1175"/>
      <c r="AA781" s="1176"/>
      <c r="AB781" s="1176"/>
      <c r="AC781" s="1176"/>
    </row>
    <row r="782" spans="2:29">
      <c r="B782" s="1175">
        <v>850012436</v>
      </c>
      <c r="C782" s="1175" t="s">
        <v>1026</v>
      </c>
      <c r="D782" s="1175" t="s">
        <v>2076</v>
      </c>
      <c r="F782" s="1175">
        <v>850010489</v>
      </c>
      <c r="G782" s="1175" t="s">
        <v>1461</v>
      </c>
      <c r="H782" s="1178" t="s">
        <v>1910</v>
      </c>
      <c r="I782" s="1178"/>
      <c r="J782" s="1178"/>
      <c r="K782" s="1178"/>
      <c r="P782" s="1175"/>
      <c r="Q782" s="1175"/>
      <c r="R782" s="1175"/>
      <c r="S782" s="1175"/>
      <c r="T782" s="1175"/>
      <c r="U782" s="1175"/>
      <c r="V782" s="1175"/>
      <c r="W782" s="1175"/>
      <c r="X782" s="1175"/>
      <c r="Y782" s="1175"/>
      <c r="Z782" s="1175"/>
      <c r="AA782" s="1176"/>
      <c r="AB782" s="1176"/>
      <c r="AC782" s="1176"/>
    </row>
    <row r="783" spans="2:29">
      <c r="B783" s="1175">
        <v>850012436</v>
      </c>
      <c r="C783" s="1175" t="s">
        <v>1026</v>
      </c>
      <c r="D783" s="1175" t="s">
        <v>2076</v>
      </c>
      <c r="F783" s="1175">
        <v>850011230</v>
      </c>
      <c r="G783" s="1175" t="s">
        <v>1451</v>
      </c>
      <c r="H783" s="1178" t="s">
        <v>1911</v>
      </c>
      <c r="I783" s="1178"/>
      <c r="J783" s="1178"/>
      <c r="K783" s="1178"/>
      <c r="P783" s="1175"/>
      <c r="Q783" s="1175"/>
      <c r="R783" s="1175"/>
      <c r="S783" s="1175"/>
      <c r="T783" s="1175"/>
      <c r="U783" s="1175"/>
      <c r="V783" s="1175"/>
      <c r="W783" s="1175"/>
      <c r="X783" s="1175"/>
      <c r="Y783" s="1175"/>
      <c r="Z783" s="1175"/>
      <c r="AA783" s="1176"/>
      <c r="AB783" s="1176"/>
      <c r="AC783" s="1176"/>
    </row>
    <row r="784" spans="2:29">
      <c r="B784" s="1175">
        <v>850012436</v>
      </c>
      <c r="C784" s="1175" t="s">
        <v>1026</v>
      </c>
      <c r="D784" s="1175" t="s">
        <v>2076</v>
      </c>
      <c r="F784" s="1175">
        <v>850011990</v>
      </c>
      <c r="G784" s="1175" t="s">
        <v>1451</v>
      </c>
      <c r="H784" s="1178" t="s">
        <v>1912</v>
      </c>
      <c r="I784" s="1178"/>
      <c r="J784" s="1178"/>
      <c r="K784" s="1178"/>
      <c r="P784" s="1175"/>
      <c r="Q784" s="1175"/>
      <c r="R784" s="1175"/>
      <c r="S784" s="1175"/>
      <c r="T784" s="1175"/>
      <c r="U784" s="1175"/>
      <c r="V784" s="1175"/>
      <c r="W784" s="1175"/>
      <c r="X784" s="1175"/>
      <c r="Y784" s="1175"/>
      <c r="Z784" s="1175"/>
      <c r="AA784" s="1176"/>
      <c r="AB784" s="1176"/>
      <c r="AC784" s="1176"/>
    </row>
    <row r="785" spans="2:29">
      <c r="B785" s="1175">
        <v>850012436</v>
      </c>
      <c r="C785" s="1175" t="s">
        <v>1026</v>
      </c>
      <c r="D785" s="1175" t="s">
        <v>2076</v>
      </c>
      <c r="F785" s="1175">
        <v>850012006</v>
      </c>
      <c r="G785" s="1175" t="s">
        <v>1462</v>
      </c>
      <c r="H785" s="1178" t="s">
        <v>1913</v>
      </c>
      <c r="I785" s="1178"/>
      <c r="J785" s="1178"/>
      <c r="K785" s="1178"/>
      <c r="P785" s="1175"/>
      <c r="Q785" s="1175"/>
      <c r="R785" s="1175"/>
      <c r="S785" s="1175"/>
      <c r="T785" s="1175"/>
      <c r="U785" s="1175"/>
      <c r="V785" s="1175"/>
      <c r="W785" s="1175"/>
      <c r="X785" s="1175"/>
      <c r="Y785" s="1175"/>
      <c r="Z785" s="1175"/>
      <c r="AA785" s="1176"/>
      <c r="AB785" s="1176"/>
      <c r="AC785" s="1176"/>
    </row>
    <row r="786" spans="2:29">
      <c r="B786" s="1175">
        <v>850012436</v>
      </c>
      <c r="C786" s="1175" t="s">
        <v>1026</v>
      </c>
      <c r="D786" s="1175" t="s">
        <v>2076</v>
      </c>
      <c r="F786" s="1175">
        <v>850014309</v>
      </c>
      <c r="G786" s="1175" t="s">
        <v>1463</v>
      </c>
      <c r="H786" s="1178" t="s">
        <v>1909</v>
      </c>
      <c r="I786" s="1178"/>
      <c r="J786" s="1178"/>
      <c r="K786" s="1178"/>
      <c r="P786" s="1175"/>
      <c r="Q786" s="1175"/>
      <c r="R786" s="1175"/>
      <c r="S786" s="1175"/>
      <c r="T786" s="1175"/>
      <c r="U786" s="1175"/>
      <c r="V786" s="1175"/>
      <c r="W786" s="1175"/>
      <c r="X786" s="1175"/>
      <c r="Y786" s="1175"/>
      <c r="Z786" s="1175"/>
      <c r="AA786" s="1176"/>
      <c r="AB786" s="1176"/>
      <c r="AC786" s="1176"/>
    </row>
    <row r="787" spans="2:29">
      <c r="B787" s="1175">
        <v>850012436</v>
      </c>
      <c r="C787" s="1175" t="s">
        <v>1026</v>
      </c>
      <c r="D787" s="1175" t="s">
        <v>2076</v>
      </c>
      <c r="F787" s="1175">
        <v>850017633</v>
      </c>
      <c r="G787" s="1175" t="s">
        <v>1464</v>
      </c>
      <c r="H787" s="1178" t="s">
        <v>1914</v>
      </c>
      <c r="I787" s="1178"/>
      <c r="J787" s="1178"/>
      <c r="K787" s="1178"/>
      <c r="P787" s="1175"/>
      <c r="Q787" s="1175"/>
      <c r="R787" s="1175"/>
      <c r="S787" s="1175"/>
      <c r="T787" s="1175"/>
      <c r="U787" s="1175"/>
      <c r="V787" s="1175"/>
      <c r="W787" s="1175"/>
      <c r="X787" s="1175"/>
      <c r="Y787" s="1175"/>
      <c r="Z787" s="1175"/>
      <c r="AA787" s="1176"/>
      <c r="AB787" s="1176"/>
      <c r="AC787" s="1176"/>
    </row>
    <row r="788" spans="2:29">
      <c r="B788" s="1175">
        <v>850012436</v>
      </c>
      <c r="C788" s="1175" t="s">
        <v>1026</v>
      </c>
      <c r="D788" s="1175" t="s">
        <v>2076</v>
      </c>
      <c r="F788" s="1175">
        <v>850017930</v>
      </c>
      <c r="G788" s="1175" t="s">
        <v>962</v>
      </c>
      <c r="H788" s="1178" t="s">
        <v>1915</v>
      </c>
      <c r="I788" s="1178"/>
      <c r="J788" s="1178"/>
      <c r="K788" s="1178"/>
      <c r="P788" s="1175"/>
      <c r="Q788" s="1175"/>
      <c r="R788" s="1175"/>
      <c r="S788" s="1175"/>
      <c r="T788" s="1175"/>
      <c r="U788" s="1175"/>
      <c r="V788" s="1175"/>
      <c r="W788" s="1175"/>
      <c r="X788" s="1175"/>
      <c r="Y788" s="1175"/>
      <c r="Z788" s="1175"/>
      <c r="AA788" s="1176"/>
      <c r="AB788" s="1176"/>
      <c r="AC788" s="1176"/>
    </row>
    <row r="789" spans="2:29">
      <c r="B789" s="1175">
        <v>850012436</v>
      </c>
      <c r="C789" s="1175" t="s">
        <v>1026</v>
      </c>
      <c r="D789" s="1175" t="s">
        <v>2076</v>
      </c>
      <c r="F789" s="1175">
        <v>850017948</v>
      </c>
      <c r="G789" s="1175" t="s">
        <v>962</v>
      </c>
      <c r="H789" s="1178" t="s">
        <v>1916</v>
      </c>
      <c r="I789" s="1178"/>
      <c r="J789" s="1178"/>
      <c r="K789" s="1178"/>
      <c r="P789" s="1175"/>
      <c r="Q789" s="1175"/>
      <c r="R789" s="1175"/>
      <c r="S789" s="1175"/>
      <c r="T789" s="1175"/>
      <c r="U789" s="1175"/>
      <c r="V789" s="1175"/>
      <c r="W789" s="1175"/>
      <c r="X789" s="1175"/>
      <c r="Y789" s="1175"/>
      <c r="Z789" s="1175"/>
      <c r="AA789" s="1176"/>
      <c r="AB789" s="1176"/>
      <c r="AC789" s="1176"/>
    </row>
    <row r="790" spans="2:29">
      <c r="B790" s="1175">
        <v>850012436</v>
      </c>
      <c r="C790" s="1175" t="s">
        <v>1026</v>
      </c>
      <c r="D790" s="1175" t="s">
        <v>2076</v>
      </c>
      <c r="F790" s="1175">
        <v>850018631</v>
      </c>
      <c r="G790" s="1175" t="s">
        <v>1465</v>
      </c>
      <c r="H790" s="1178" t="s">
        <v>1917</v>
      </c>
      <c r="I790" s="1178"/>
      <c r="J790" s="1178"/>
      <c r="K790" s="1178"/>
      <c r="P790" s="1175"/>
      <c r="Q790" s="1175"/>
      <c r="R790" s="1175"/>
      <c r="S790" s="1175"/>
      <c r="T790" s="1175"/>
      <c r="U790" s="1175"/>
      <c r="V790" s="1175"/>
      <c r="W790" s="1175"/>
      <c r="X790" s="1175"/>
      <c r="Y790" s="1175"/>
      <c r="Z790" s="1175"/>
      <c r="AA790" s="1176"/>
      <c r="AB790" s="1176"/>
      <c r="AC790" s="1176"/>
    </row>
    <row r="791" spans="2:29">
      <c r="B791" s="1175">
        <v>850012436</v>
      </c>
      <c r="C791" s="1175" t="s">
        <v>1026</v>
      </c>
      <c r="D791" s="1175" t="s">
        <v>2076</v>
      </c>
      <c r="F791" s="1175">
        <v>850018821</v>
      </c>
      <c r="G791" s="1175" t="s">
        <v>1466</v>
      </c>
      <c r="H791" s="1178" t="s">
        <v>1918</v>
      </c>
      <c r="I791" s="1178"/>
      <c r="J791" s="1178"/>
      <c r="K791" s="1178"/>
      <c r="P791" s="1175"/>
      <c r="Q791" s="1175"/>
      <c r="R791" s="1175"/>
      <c r="S791" s="1175"/>
      <c r="T791" s="1175"/>
      <c r="U791" s="1175"/>
      <c r="V791" s="1175"/>
      <c r="W791" s="1175"/>
      <c r="X791" s="1175"/>
      <c r="Y791" s="1175"/>
      <c r="Z791" s="1175"/>
      <c r="AA791" s="1176"/>
      <c r="AB791" s="1176"/>
      <c r="AC791" s="1175"/>
    </row>
    <row r="792" spans="2:29">
      <c r="B792" s="1175">
        <v>850012436</v>
      </c>
      <c r="C792" s="1175" t="s">
        <v>1026</v>
      </c>
      <c r="D792" s="1175" t="s">
        <v>2076</v>
      </c>
      <c r="F792" s="1175">
        <v>850020603</v>
      </c>
      <c r="G792" s="1175" t="s">
        <v>1467</v>
      </c>
      <c r="H792" s="1178" t="s">
        <v>1919</v>
      </c>
      <c r="I792" s="1178"/>
      <c r="J792" s="1178"/>
      <c r="K792" s="1178"/>
      <c r="P792" s="1175"/>
      <c r="Q792" s="1175"/>
      <c r="R792" s="1175"/>
      <c r="S792" s="1175"/>
      <c r="T792" s="1175"/>
      <c r="U792" s="1175"/>
      <c r="V792" s="1175"/>
      <c r="W792" s="1175"/>
      <c r="X792" s="1175"/>
      <c r="Y792" s="1175"/>
      <c r="Z792" s="1175"/>
      <c r="AA792" s="1176"/>
      <c r="AB792" s="1176"/>
      <c r="AC792" s="1176"/>
    </row>
    <row r="793" spans="2:29">
      <c r="B793" s="1175">
        <v>850012436</v>
      </c>
      <c r="C793" s="1175" t="s">
        <v>1026</v>
      </c>
      <c r="D793" s="1175" t="s">
        <v>2076</v>
      </c>
      <c r="F793" s="1175">
        <v>850020884</v>
      </c>
      <c r="G793" s="1175" t="s">
        <v>1468</v>
      </c>
      <c r="H793" s="1178" t="s">
        <v>1920</v>
      </c>
      <c r="I793" s="1178"/>
      <c r="J793" s="1178"/>
      <c r="K793" s="1178"/>
      <c r="P793" s="1175"/>
      <c r="Q793" s="1175"/>
      <c r="R793" s="1175"/>
      <c r="S793" s="1175"/>
      <c r="T793" s="1175"/>
      <c r="U793" s="1175"/>
      <c r="V793" s="1175"/>
      <c r="W793" s="1175"/>
      <c r="X793" s="1175"/>
      <c r="Y793" s="1175"/>
      <c r="Z793" s="1175"/>
      <c r="AA793" s="1176"/>
      <c r="AB793" s="1176"/>
      <c r="AC793" s="1176"/>
    </row>
    <row r="794" spans="2:29">
      <c r="B794" s="1175">
        <v>850012436</v>
      </c>
      <c r="C794" s="1175" t="s">
        <v>1026</v>
      </c>
      <c r="D794" s="1175" t="s">
        <v>2076</v>
      </c>
      <c r="F794" s="1175">
        <v>850020884</v>
      </c>
      <c r="G794" s="1175" t="s">
        <v>1468</v>
      </c>
      <c r="H794" s="1178" t="s">
        <v>1920</v>
      </c>
      <c r="I794" s="1178"/>
      <c r="J794" s="1178"/>
      <c r="K794" s="1178"/>
      <c r="P794" s="1175"/>
      <c r="Q794" s="1175"/>
      <c r="R794" s="1175"/>
      <c r="S794" s="1175"/>
      <c r="T794" s="1175"/>
      <c r="U794" s="1175"/>
      <c r="V794" s="1175"/>
      <c r="W794" s="1175"/>
      <c r="X794" s="1175"/>
      <c r="Y794" s="1175"/>
      <c r="Z794" s="1175"/>
      <c r="AA794" s="1176"/>
      <c r="AB794" s="1176"/>
      <c r="AC794" s="1176"/>
    </row>
    <row r="795" spans="2:29">
      <c r="B795" s="1175">
        <v>850006347</v>
      </c>
      <c r="C795" s="1175" t="s">
        <v>1447</v>
      </c>
      <c r="D795" s="1175" t="s">
        <v>2074</v>
      </c>
      <c r="F795" s="1175">
        <v>850011578</v>
      </c>
      <c r="G795" s="1175" t="s">
        <v>1469</v>
      </c>
      <c r="H795" s="1178" t="s">
        <v>1921</v>
      </c>
      <c r="I795" s="1178"/>
      <c r="J795" s="1178"/>
      <c r="K795" s="1178"/>
      <c r="P795" s="1175"/>
      <c r="Q795" s="1175"/>
      <c r="R795" s="1175"/>
      <c r="S795" s="1175"/>
      <c r="T795" s="1175"/>
      <c r="U795" s="1175"/>
      <c r="V795" s="1175"/>
      <c r="W795" s="1175"/>
      <c r="X795" s="1175"/>
      <c r="Y795" s="1175"/>
      <c r="Z795" s="1175"/>
      <c r="AA795" s="1176"/>
      <c r="AB795" s="1176"/>
      <c r="AC795" s="1176"/>
    </row>
    <row r="796" spans="2:29">
      <c r="B796" s="1175">
        <v>850006347</v>
      </c>
      <c r="C796" s="1175" t="s">
        <v>1447</v>
      </c>
      <c r="D796" s="1175" t="s">
        <v>2074</v>
      </c>
      <c r="F796" s="1175">
        <v>850018268</v>
      </c>
      <c r="G796" s="1175" t="s">
        <v>1470</v>
      </c>
      <c r="H796" s="1178" t="s">
        <v>1922</v>
      </c>
      <c r="I796" s="1178"/>
      <c r="J796" s="1178"/>
      <c r="K796" s="1178"/>
      <c r="P796" s="1175"/>
      <c r="Q796" s="1175"/>
      <c r="R796" s="1175"/>
      <c r="S796" s="1175"/>
      <c r="T796" s="1175"/>
      <c r="U796" s="1175"/>
      <c r="V796" s="1175"/>
      <c r="W796" s="1175"/>
      <c r="X796" s="1175"/>
      <c r="Y796" s="1175"/>
      <c r="Z796" s="1175"/>
      <c r="AA796" s="1176"/>
      <c r="AB796" s="1176"/>
      <c r="AC796" s="1176"/>
    </row>
    <row r="797" spans="2:29">
      <c r="B797" s="1175">
        <v>850008905</v>
      </c>
      <c r="C797" s="1175" t="s">
        <v>1048</v>
      </c>
      <c r="D797" s="1175" t="s">
        <v>2075</v>
      </c>
      <c r="F797" s="1175">
        <v>850012360</v>
      </c>
      <c r="G797" s="1175" t="s">
        <v>1471</v>
      </c>
      <c r="H797" s="1178" t="s">
        <v>1923</v>
      </c>
      <c r="I797" s="1178"/>
      <c r="J797" s="1178"/>
      <c r="K797" s="1178"/>
      <c r="P797" s="1175"/>
      <c r="Q797" s="1175"/>
      <c r="R797" s="1175"/>
      <c r="S797" s="1175"/>
      <c r="T797" s="1175"/>
      <c r="U797" s="1175"/>
      <c r="V797" s="1175"/>
      <c r="W797" s="1175"/>
      <c r="X797" s="1175"/>
      <c r="Y797" s="1175"/>
      <c r="Z797" s="1175"/>
      <c r="AA797" s="1176"/>
      <c r="AB797" s="1176"/>
      <c r="AC797" s="1176"/>
    </row>
    <row r="798" spans="2:29">
      <c r="B798" s="1175">
        <v>850008905</v>
      </c>
      <c r="C798" s="1175" t="s">
        <v>1048</v>
      </c>
      <c r="D798" s="1175" t="s">
        <v>2075</v>
      </c>
      <c r="F798" s="1175">
        <v>850012360</v>
      </c>
      <c r="G798" s="1175" t="s">
        <v>1471</v>
      </c>
      <c r="H798" s="1178" t="s">
        <v>1923</v>
      </c>
      <c r="I798" s="1178"/>
      <c r="J798" s="1178"/>
      <c r="K798" s="1178"/>
      <c r="P798" s="1175"/>
      <c r="Q798" s="1175"/>
      <c r="R798" s="1175"/>
      <c r="S798" s="1175"/>
      <c r="T798" s="1175"/>
      <c r="U798" s="1175"/>
      <c r="V798" s="1175"/>
      <c r="W798" s="1175"/>
      <c r="X798" s="1175"/>
      <c r="Y798" s="1175"/>
      <c r="Z798" s="1175"/>
      <c r="AA798" s="1176"/>
      <c r="AB798" s="1176"/>
      <c r="AC798" s="1176"/>
    </row>
    <row r="799" spans="2:29">
      <c r="B799" s="1175">
        <v>850012436</v>
      </c>
      <c r="C799" s="1175" t="s">
        <v>1026</v>
      </c>
      <c r="D799" s="1175" t="s">
        <v>2076</v>
      </c>
      <c r="F799" s="1175">
        <v>850000282</v>
      </c>
      <c r="G799" s="1175" t="s">
        <v>1472</v>
      </c>
      <c r="H799" s="1178" t="s">
        <v>1924</v>
      </c>
      <c r="I799" s="1178"/>
      <c r="J799" s="1178"/>
      <c r="K799" s="1178"/>
      <c r="P799" s="1175"/>
      <c r="Q799" s="1175"/>
      <c r="R799" s="1175"/>
      <c r="S799" s="1175"/>
      <c r="T799" s="1175"/>
      <c r="U799" s="1175"/>
      <c r="V799" s="1175"/>
      <c r="W799" s="1175"/>
      <c r="X799" s="1175"/>
      <c r="Y799" s="1175"/>
      <c r="Z799" s="1175"/>
      <c r="AA799" s="1176"/>
      <c r="AB799" s="1176"/>
      <c r="AC799" s="1176"/>
    </row>
    <row r="800" spans="2:29">
      <c r="B800" s="1175">
        <v>850012436</v>
      </c>
      <c r="C800" s="1175" t="s">
        <v>1026</v>
      </c>
      <c r="D800" s="1175" t="s">
        <v>2076</v>
      </c>
      <c r="F800" s="1175">
        <v>850000290</v>
      </c>
      <c r="G800" s="1175" t="s">
        <v>1473</v>
      </c>
      <c r="H800" s="1178" t="s">
        <v>1925</v>
      </c>
      <c r="I800" s="1178"/>
      <c r="J800" s="1178"/>
      <c r="K800" s="1178"/>
      <c r="P800" s="1175"/>
      <c r="Q800" s="1175"/>
      <c r="R800" s="1175"/>
      <c r="S800" s="1175"/>
      <c r="T800" s="1175"/>
      <c r="U800" s="1175"/>
      <c r="V800" s="1175"/>
      <c r="W800" s="1175"/>
      <c r="X800" s="1175"/>
      <c r="Y800" s="1175"/>
      <c r="Z800" s="1175"/>
      <c r="AA800" s="1176"/>
      <c r="AB800" s="1176"/>
      <c r="AC800" s="1176"/>
    </row>
    <row r="801" spans="2:29">
      <c r="B801" s="1175">
        <v>850012436</v>
      </c>
      <c r="C801" s="1175" t="s">
        <v>1026</v>
      </c>
      <c r="D801" s="1175" t="s">
        <v>2076</v>
      </c>
      <c r="F801" s="1175">
        <v>850003617</v>
      </c>
      <c r="G801" s="1175" t="s">
        <v>1474</v>
      </c>
      <c r="H801" s="1178" t="s">
        <v>1910</v>
      </c>
      <c r="I801" s="1178"/>
      <c r="J801" s="1178"/>
      <c r="K801" s="1178"/>
      <c r="P801" s="1175"/>
      <c r="Q801" s="1175"/>
      <c r="R801" s="1175"/>
      <c r="S801" s="1175"/>
      <c r="T801" s="1175"/>
      <c r="U801" s="1175"/>
      <c r="V801" s="1175"/>
      <c r="W801" s="1175"/>
      <c r="X801" s="1175"/>
      <c r="Y801" s="1175"/>
      <c r="Z801" s="1175"/>
      <c r="AA801" s="1176"/>
      <c r="AB801" s="1176"/>
      <c r="AC801" s="1176"/>
    </row>
    <row r="802" spans="2:29">
      <c r="B802" s="1175">
        <v>850012436</v>
      </c>
      <c r="C802" s="1175" t="s">
        <v>1026</v>
      </c>
      <c r="D802" s="1175" t="s">
        <v>2076</v>
      </c>
      <c r="F802" s="1175">
        <v>850003617</v>
      </c>
      <c r="G802" s="1175" t="s">
        <v>1474</v>
      </c>
      <c r="H802" s="1178" t="s">
        <v>1910</v>
      </c>
      <c r="I802" s="1178"/>
      <c r="J802" s="1178"/>
      <c r="K802" s="1178"/>
      <c r="P802" s="1175"/>
      <c r="Q802" s="1175"/>
      <c r="R802" s="1175"/>
      <c r="S802" s="1175"/>
      <c r="T802" s="1175"/>
      <c r="U802" s="1175"/>
      <c r="V802" s="1175"/>
      <c r="W802" s="1175"/>
      <c r="X802" s="1175"/>
      <c r="Y802" s="1175"/>
      <c r="Z802" s="1175"/>
      <c r="AA802" s="1176"/>
      <c r="AB802" s="1176"/>
      <c r="AC802" s="1176"/>
    </row>
    <row r="803" spans="2:29">
      <c r="B803" s="1175">
        <v>850012436</v>
      </c>
      <c r="C803" s="1175" t="s">
        <v>1026</v>
      </c>
      <c r="D803" s="1175" t="s">
        <v>2076</v>
      </c>
      <c r="F803" s="1175">
        <v>850003666</v>
      </c>
      <c r="G803" s="1175" t="s">
        <v>1475</v>
      </c>
      <c r="H803" s="1178" t="s">
        <v>1926</v>
      </c>
      <c r="I803" s="1178"/>
      <c r="J803" s="1178"/>
      <c r="K803" s="1178"/>
      <c r="P803" s="1175"/>
      <c r="Q803" s="1175"/>
      <c r="R803" s="1175"/>
      <c r="S803" s="1175"/>
      <c r="T803" s="1175"/>
      <c r="U803" s="1175"/>
      <c r="V803" s="1175"/>
      <c r="W803" s="1175"/>
      <c r="X803" s="1175"/>
      <c r="Y803" s="1175"/>
      <c r="Z803" s="1175"/>
      <c r="AA803" s="1176"/>
      <c r="AB803" s="1176"/>
      <c r="AC803" s="1176"/>
    </row>
    <row r="804" spans="2:29">
      <c r="B804" s="1175">
        <v>850012436</v>
      </c>
      <c r="C804" s="1175" t="s">
        <v>1026</v>
      </c>
      <c r="D804" s="1175" t="s">
        <v>2076</v>
      </c>
      <c r="F804" s="1175">
        <v>850005091</v>
      </c>
      <c r="G804" s="1175" t="s">
        <v>1476</v>
      </c>
      <c r="H804" s="1178" t="s">
        <v>1927</v>
      </c>
      <c r="I804" s="1178"/>
      <c r="J804" s="1178"/>
      <c r="K804" s="1178"/>
      <c r="P804" s="1175"/>
      <c r="Q804" s="1175"/>
      <c r="R804" s="1175"/>
      <c r="S804" s="1175"/>
      <c r="T804" s="1175"/>
      <c r="U804" s="1175"/>
      <c r="V804" s="1175"/>
      <c r="W804" s="1175"/>
      <c r="X804" s="1175"/>
      <c r="Y804" s="1175"/>
      <c r="Z804" s="1175"/>
      <c r="AA804" s="1176"/>
      <c r="AB804" s="1176"/>
      <c r="AC804" s="1176"/>
    </row>
    <row r="805" spans="2:29">
      <c r="B805" s="1175">
        <v>850012436</v>
      </c>
      <c r="C805" s="1175" t="s">
        <v>1026</v>
      </c>
      <c r="D805" s="1175" t="s">
        <v>2076</v>
      </c>
      <c r="F805" s="1175">
        <v>850006404</v>
      </c>
      <c r="G805" s="1175" t="s">
        <v>1477</v>
      </c>
      <c r="H805" s="1178" t="s">
        <v>1910</v>
      </c>
      <c r="I805" s="1178"/>
      <c r="J805" s="1178"/>
      <c r="K805" s="1178"/>
      <c r="P805" s="1175"/>
      <c r="Q805" s="1175"/>
      <c r="R805" s="1175"/>
      <c r="S805" s="1175"/>
      <c r="T805" s="1175"/>
      <c r="U805" s="1175"/>
      <c r="V805" s="1175"/>
      <c r="W805" s="1175"/>
      <c r="X805" s="1175"/>
      <c r="Y805" s="1175"/>
      <c r="Z805" s="1175"/>
      <c r="AA805" s="1176"/>
      <c r="AB805" s="1176"/>
      <c r="AC805" s="1176"/>
    </row>
    <row r="806" spans="2:29">
      <c r="B806" s="1175">
        <v>850012436</v>
      </c>
      <c r="C806" s="1175" t="s">
        <v>1026</v>
      </c>
      <c r="D806" s="1175" t="s">
        <v>2076</v>
      </c>
      <c r="F806" s="1175">
        <v>850006529</v>
      </c>
      <c r="G806" s="1175" t="s">
        <v>1455</v>
      </c>
      <c r="H806" s="1178" t="s">
        <v>1907</v>
      </c>
      <c r="I806" s="1178"/>
      <c r="J806" s="1178"/>
      <c r="K806" s="1178"/>
      <c r="P806" s="1175"/>
      <c r="Q806" s="1175"/>
      <c r="R806" s="1175"/>
      <c r="S806" s="1175"/>
      <c r="T806" s="1175"/>
      <c r="U806" s="1175"/>
      <c r="V806" s="1175"/>
      <c r="W806" s="1175"/>
      <c r="X806" s="1175"/>
      <c r="Y806" s="1175"/>
      <c r="Z806" s="1175"/>
      <c r="AA806" s="1176"/>
      <c r="AB806" s="1176"/>
      <c r="AC806" s="1176"/>
    </row>
    <row r="807" spans="2:29">
      <c r="B807" s="1175">
        <v>850012436</v>
      </c>
      <c r="C807" s="1175" t="s">
        <v>1026</v>
      </c>
      <c r="D807" s="1175" t="s">
        <v>2076</v>
      </c>
      <c r="F807" s="1175">
        <v>850009747</v>
      </c>
      <c r="G807" s="1175" t="s">
        <v>1478</v>
      </c>
      <c r="H807" s="1178" t="s">
        <v>1928</v>
      </c>
      <c r="I807" s="1178"/>
      <c r="J807" s="1178"/>
      <c r="K807" s="1178"/>
      <c r="P807" s="1175"/>
      <c r="Q807" s="1175"/>
      <c r="R807" s="1175"/>
      <c r="S807" s="1175"/>
      <c r="T807" s="1175"/>
      <c r="U807" s="1175"/>
      <c r="V807" s="1175"/>
      <c r="W807" s="1175"/>
      <c r="X807" s="1175"/>
      <c r="Y807" s="1175"/>
      <c r="Z807" s="1175"/>
      <c r="AA807" s="1176"/>
      <c r="AB807" s="1176"/>
      <c r="AC807" s="1176"/>
    </row>
    <row r="808" spans="2:29">
      <c r="B808" s="1175">
        <v>850012436</v>
      </c>
      <c r="C808" s="1175" t="s">
        <v>1026</v>
      </c>
      <c r="D808" s="1175" t="s">
        <v>2076</v>
      </c>
      <c r="F808" s="1175">
        <v>850009960</v>
      </c>
      <c r="G808" s="1175" t="s">
        <v>1479</v>
      </c>
      <c r="H808" s="1178" t="s">
        <v>1929</v>
      </c>
      <c r="I808" s="1178"/>
      <c r="J808" s="1178"/>
      <c r="K808" s="1178"/>
      <c r="P808" s="1175"/>
      <c r="Q808" s="1175"/>
      <c r="R808" s="1175"/>
      <c r="S808" s="1175"/>
      <c r="T808" s="1175"/>
      <c r="U808" s="1175"/>
      <c r="V808" s="1175"/>
      <c r="W808" s="1175"/>
      <c r="X808" s="1175"/>
      <c r="Y808" s="1175"/>
      <c r="Z808" s="1175"/>
      <c r="AA808" s="1176"/>
      <c r="AB808" s="1176"/>
      <c r="AC808" s="1176"/>
    </row>
    <row r="809" spans="2:29">
      <c r="B809" s="1175">
        <v>850012436</v>
      </c>
      <c r="C809" s="1175" t="s">
        <v>1026</v>
      </c>
      <c r="D809" s="1175" t="s">
        <v>2076</v>
      </c>
      <c r="F809" s="1175">
        <v>850009960</v>
      </c>
      <c r="G809" s="1175" t="s">
        <v>1479</v>
      </c>
      <c r="H809" s="1178" t="s">
        <v>1929</v>
      </c>
      <c r="I809" s="1178"/>
      <c r="J809" s="1178"/>
      <c r="K809" s="1178"/>
      <c r="P809" s="1175"/>
      <c r="Q809" s="1175"/>
      <c r="R809" s="1175"/>
      <c r="S809" s="1175"/>
      <c r="T809" s="1175"/>
      <c r="U809" s="1175"/>
      <c r="V809" s="1175"/>
      <c r="W809" s="1175"/>
      <c r="X809" s="1175"/>
      <c r="Y809" s="1175"/>
      <c r="Z809" s="1175"/>
      <c r="AA809" s="1176"/>
      <c r="AB809" s="1176"/>
      <c r="AC809" s="1175"/>
    </row>
    <row r="810" spans="2:29">
      <c r="B810" s="1175">
        <v>850012436</v>
      </c>
      <c r="C810" s="1175" t="s">
        <v>1026</v>
      </c>
      <c r="D810" s="1175" t="s">
        <v>2076</v>
      </c>
      <c r="F810" s="1175">
        <v>850010216</v>
      </c>
      <c r="G810" s="1175" t="s">
        <v>1458</v>
      </c>
      <c r="H810" s="1178" t="s">
        <v>1907</v>
      </c>
      <c r="I810" s="1178"/>
      <c r="J810" s="1178"/>
      <c r="K810" s="1178"/>
      <c r="P810" s="1175"/>
      <c r="Q810" s="1175"/>
      <c r="R810" s="1175"/>
      <c r="S810" s="1175"/>
      <c r="T810" s="1175"/>
      <c r="U810" s="1175"/>
      <c r="V810" s="1175"/>
      <c r="W810" s="1175"/>
      <c r="X810" s="1175"/>
      <c r="Y810" s="1175"/>
      <c r="Z810" s="1175"/>
      <c r="AA810" s="1176"/>
      <c r="AB810" s="1176"/>
      <c r="AC810" s="1176"/>
    </row>
    <row r="811" spans="2:29">
      <c r="B811" s="1175">
        <v>850012436</v>
      </c>
      <c r="C811" s="1175" t="s">
        <v>1026</v>
      </c>
      <c r="D811" s="1175" t="s">
        <v>2076</v>
      </c>
      <c r="F811" s="1175">
        <v>850010489</v>
      </c>
      <c r="G811" s="1175" t="s">
        <v>1461</v>
      </c>
      <c r="H811" s="1178" t="s">
        <v>1910</v>
      </c>
      <c r="I811" s="1178"/>
      <c r="J811" s="1178"/>
      <c r="K811" s="1178"/>
      <c r="P811" s="1175"/>
      <c r="Q811" s="1175"/>
      <c r="R811" s="1175"/>
      <c r="S811" s="1175"/>
      <c r="T811" s="1175"/>
      <c r="U811" s="1175"/>
      <c r="V811" s="1175"/>
      <c r="W811" s="1175"/>
      <c r="X811" s="1175"/>
      <c r="Y811" s="1175"/>
      <c r="Z811" s="1175"/>
      <c r="AA811" s="1176"/>
      <c r="AB811" s="1176"/>
      <c r="AC811" s="1176"/>
    </row>
    <row r="812" spans="2:29">
      <c r="B812" s="1175">
        <v>850012436</v>
      </c>
      <c r="C812" s="1175" t="s">
        <v>1026</v>
      </c>
      <c r="D812" s="1175" t="s">
        <v>2076</v>
      </c>
      <c r="F812" s="1175">
        <v>850010497</v>
      </c>
      <c r="G812" s="1175" t="s">
        <v>1480</v>
      </c>
      <c r="H812" s="1178" t="s">
        <v>1905</v>
      </c>
      <c r="I812" s="1178"/>
      <c r="J812" s="1178"/>
      <c r="K812" s="1178"/>
      <c r="P812" s="1175"/>
      <c r="Q812" s="1175"/>
      <c r="R812" s="1175"/>
      <c r="S812" s="1175"/>
      <c r="T812" s="1175"/>
      <c r="U812" s="1175"/>
      <c r="V812" s="1175"/>
      <c r="W812" s="1175"/>
      <c r="X812" s="1175"/>
      <c r="Y812" s="1175"/>
      <c r="Z812" s="1175"/>
      <c r="AA812" s="1176"/>
      <c r="AB812" s="1176"/>
      <c r="AC812" s="1176"/>
    </row>
    <row r="813" spans="2:29">
      <c r="B813" s="1175">
        <v>850012436</v>
      </c>
      <c r="C813" s="1175" t="s">
        <v>1026</v>
      </c>
      <c r="D813" s="1175" t="s">
        <v>2076</v>
      </c>
      <c r="F813" s="1175">
        <v>850010984</v>
      </c>
      <c r="G813" s="1175" t="s">
        <v>1481</v>
      </c>
      <c r="H813" s="1178" t="s">
        <v>1930</v>
      </c>
      <c r="I813" s="1178"/>
      <c r="J813" s="1178"/>
      <c r="K813" s="1178"/>
      <c r="P813" s="1175"/>
      <c r="Q813" s="1175"/>
      <c r="R813" s="1175"/>
      <c r="S813" s="1175"/>
      <c r="T813" s="1175"/>
      <c r="U813" s="1175"/>
      <c r="V813" s="1175"/>
      <c r="W813" s="1175"/>
      <c r="X813" s="1175"/>
      <c r="Y813" s="1175"/>
      <c r="Z813" s="1175"/>
      <c r="AA813" s="1176"/>
      <c r="AB813" s="1176"/>
      <c r="AC813" s="1176"/>
    </row>
    <row r="814" spans="2:29">
      <c r="B814" s="1175">
        <v>850012436</v>
      </c>
      <c r="C814" s="1175" t="s">
        <v>1026</v>
      </c>
      <c r="D814" s="1175" t="s">
        <v>2076</v>
      </c>
      <c r="F814" s="1175">
        <v>850010984</v>
      </c>
      <c r="G814" s="1175" t="s">
        <v>1481</v>
      </c>
      <c r="H814" s="1178" t="s">
        <v>1930</v>
      </c>
      <c r="I814" s="1178"/>
      <c r="J814" s="1178"/>
      <c r="K814" s="1178"/>
      <c r="P814" s="1175"/>
      <c r="Q814" s="1175"/>
      <c r="R814" s="1175"/>
      <c r="S814" s="1175"/>
      <c r="T814" s="1175"/>
      <c r="U814" s="1175"/>
      <c r="V814" s="1175"/>
      <c r="W814" s="1175"/>
      <c r="X814" s="1175"/>
      <c r="Y814" s="1175"/>
      <c r="Z814" s="1175"/>
      <c r="AA814" s="1176"/>
      <c r="AB814" s="1176"/>
      <c r="AC814" s="1176"/>
    </row>
    <row r="815" spans="2:29">
      <c r="B815" s="1175">
        <v>850012436</v>
      </c>
      <c r="C815" s="1175" t="s">
        <v>1026</v>
      </c>
      <c r="D815" s="1175" t="s">
        <v>2076</v>
      </c>
      <c r="F815" s="1175">
        <v>850016650</v>
      </c>
      <c r="G815" s="1175" t="s">
        <v>1482</v>
      </c>
      <c r="H815" s="1178" t="s">
        <v>1931</v>
      </c>
      <c r="I815" s="1178"/>
      <c r="J815" s="1178"/>
      <c r="K815" s="1178"/>
      <c r="P815" s="1175"/>
      <c r="Q815" s="1175"/>
      <c r="R815" s="1175"/>
      <c r="S815" s="1175"/>
      <c r="T815" s="1175"/>
      <c r="U815" s="1175"/>
      <c r="V815" s="1175"/>
      <c r="W815" s="1175"/>
      <c r="X815" s="1175"/>
      <c r="Y815" s="1175"/>
      <c r="Z815" s="1175"/>
      <c r="AA815" s="1176"/>
      <c r="AB815" s="1176"/>
      <c r="AC815" s="1176"/>
    </row>
    <row r="816" spans="2:29">
      <c r="B816" s="1175">
        <v>850012436</v>
      </c>
      <c r="C816" s="1175" t="s">
        <v>1026</v>
      </c>
      <c r="D816" s="1175" t="s">
        <v>2076</v>
      </c>
      <c r="F816" s="1175">
        <v>850016734</v>
      </c>
      <c r="G816" s="1175" t="s">
        <v>1483</v>
      </c>
      <c r="H816" s="1178" t="s">
        <v>1932</v>
      </c>
      <c r="I816" s="1178"/>
      <c r="J816" s="1178"/>
      <c r="K816" s="1178"/>
      <c r="P816" s="1175"/>
      <c r="Q816" s="1175"/>
      <c r="R816" s="1175"/>
      <c r="S816" s="1175"/>
      <c r="T816" s="1175"/>
      <c r="U816" s="1175"/>
      <c r="V816" s="1175"/>
      <c r="W816" s="1175"/>
      <c r="X816" s="1175"/>
      <c r="Y816" s="1175"/>
      <c r="Z816" s="1175"/>
      <c r="AA816" s="1176"/>
      <c r="AB816" s="1176"/>
      <c r="AC816" s="1176"/>
    </row>
    <row r="817" spans="2:29">
      <c r="B817" s="1175">
        <v>850012436</v>
      </c>
      <c r="C817" s="1175" t="s">
        <v>1026</v>
      </c>
      <c r="D817" s="1175" t="s">
        <v>2076</v>
      </c>
      <c r="F817" s="1175">
        <v>850016734</v>
      </c>
      <c r="G817" s="1175" t="s">
        <v>1483</v>
      </c>
      <c r="H817" s="1178" t="s">
        <v>1932</v>
      </c>
      <c r="I817" s="1178"/>
      <c r="J817" s="1178"/>
      <c r="K817" s="1178"/>
      <c r="P817" s="1175"/>
      <c r="Q817" s="1175"/>
      <c r="R817" s="1175"/>
      <c r="S817" s="1175"/>
      <c r="T817" s="1175"/>
      <c r="U817" s="1175"/>
      <c r="V817" s="1175"/>
      <c r="W817" s="1175"/>
      <c r="X817" s="1175"/>
      <c r="Y817" s="1175"/>
      <c r="Z817" s="1175"/>
      <c r="AA817" s="1176"/>
      <c r="AB817" s="1176"/>
      <c r="AC817" s="1176"/>
    </row>
    <row r="818" spans="2:29">
      <c r="B818" s="1175">
        <v>850012436</v>
      </c>
      <c r="C818" s="1175" t="s">
        <v>1026</v>
      </c>
      <c r="D818" s="1175" t="s">
        <v>2076</v>
      </c>
      <c r="F818" s="1175">
        <v>850017583</v>
      </c>
      <c r="G818" s="1175" t="s">
        <v>1484</v>
      </c>
      <c r="H818" s="1178" t="s">
        <v>1933</v>
      </c>
      <c r="I818" s="1178"/>
      <c r="J818" s="1178"/>
      <c r="K818" s="1178"/>
      <c r="P818" s="1175"/>
      <c r="Q818" s="1175"/>
      <c r="R818" s="1175"/>
      <c r="S818" s="1175"/>
      <c r="T818" s="1175"/>
      <c r="U818" s="1175"/>
      <c r="V818" s="1175"/>
      <c r="W818" s="1175"/>
      <c r="X818" s="1175"/>
      <c r="Y818" s="1175"/>
      <c r="Z818" s="1175"/>
      <c r="AA818" s="1176"/>
      <c r="AB818" s="1176"/>
      <c r="AC818" s="1176"/>
    </row>
    <row r="819" spans="2:29">
      <c r="B819" s="1175">
        <v>850012436</v>
      </c>
      <c r="C819" s="1175" t="s">
        <v>1026</v>
      </c>
      <c r="D819" s="1175" t="s">
        <v>2076</v>
      </c>
      <c r="F819" s="1175">
        <v>850018649</v>
      </c>
      <c r="G819" s="1175" t="s">
        <v>1485</v>
      </c>
      <c r="H819" s="1178" t="s">
        <v>1934</v>
      </c>
      <c r="I819" s="1178"/>
      <c r="J819" s="1178"/>
      <c r="K819" s="1178"/>
      <c r="P819" s="1175"/>
      <c r="Q819" s="1175"/>
      <c r="R819" s="1175"/>
      <c r="S819" s="1175"/>
      <c r="T819" s="1175"/>
      <c r="U819" s="1175"/>
      <c r="V819" s="1175"/>
      <c r="W819" s="1175"/>
      <c r="X819" s="1175"/>
      <c r="Y819" s="1175"/>
      <c r="Z819" s="1175"/>
      <c r="AA819" s="1176"/>
      <c r="AB819" s="1176"/>
      <c r="AC819" s="1176"/>
    </row>
    <row r="820" spans="2:29">
      <c r="B820" s="1175">
        <v>850012436</v>
      </c>
      <c r="C820" s="1175" t="s">
        <v>1026</v>
      </c>
      <c r="D820" s="1175" t="s">
        <v>2076</v>
      </c>
      <c r="F820" s="1175">
        <v>850018656</v>
      </c>
      <c r="G820" s="1175" t="s">
        <v>1486</v>
      </c>
      <c r="H820" s="1178" t="s">
        <v>1935</v>
      </c>
      <c r="I820" s="1178"/>
      <c r="J820" s="1178"/>
      <c r="K820" s="1178"/>
      <c r="P820" s="1175"/>
      <c r="Q820" s="1175"/>
      <c r="R820" s="1175"/>
      <c r="S820" s="1175"/>
      <c r="T820" s="1175"/>
      <c r="U820" s="1175"/>
      <c r="V820" s="1175"/>
      <c r="W820" s="1175"/>
      <c r="X820" s="1175"/>
      <c r="Y820" s="1175"/>
      <c r="Z820" s="1175"/>
      <c r="AA820" s="1176"/>
      <c r="AB820" s="1176"/>
      <c r="AC820" s="1176"/>
    </row>
    <row r="821" spans="2:29">
      <c r="B821" s="1175">
        <v>850012436</v>
      </c>
      <c r="C821" s="1175" t="s">
        <v>1026</v>
      </c>
      <c r="D821" s="1175" t="s">
        <v>2076</v>
      </c>
      <c r="F821" s="1175">
        <v>850018664</v>
      </c>
      <c r="G821" s="1175" t="s">
        <v>1487</v>
      </c>
      <c r="H821" s="1178" t="s">
        <v>1936</v>
      </c>
      <c r="I821" s="1178"/>
      <c r="J821" s="1178"/>
      <c r="K821" s="1178"/>
      <c r="P821" s="1175"/>
      <c r="Q821" s="1175"/>
      <c r="R821" s="1175"/>
      <c r="S821" s="1175"/>
      <c r="T821" s="1175"/>
      <c r="U821" s="1175"/>
      <c r="V821" s="1175"/>
      <c r="W821" s="1175"/>
      <c r="X821" s="1175"/>
      <c r="Y821" s="1175"/>
      <c r="Z821" s="1175"/>
      <c r="AA821" s="1176"/>
      <c r="AB821" s="1176"/>
      <c r="AC821" s="1176"/>
    </row>
    <row r="822" spans="2:29">
      <c r="B822" s="1175">
        <v>850012436</v>
      </c>
      <c r="C822" s="1175" t="s">
        <v>1026</v>
      </c>
      <c r="D822" s="1175" t="s">
        <v>2076</v>
      </c>
      <c r="F822" s="1175">
        <v>850018664</v>
      </c>
      <c r="G822" s="1175" t="s">
        <v>1487</v>
      </c>
      <c r="H822" s="1178" t="s">
        <v>1936</v>
      </c>
      <c r="I822" s="1178"/>
      <c r="J822" s="1178"/>
      <c r="K822" s="1178"/>
      <c r="P822" s="1175"/>
      <c r="Q822" s="1175"/>
      <c r="R822" s="1175"/>
      <c r="S822" s="1175"/>
      <c r="T822" s="1175"/>
      <c r="U822" s="1175"/>
      <c r="V822" s="1175"/>
      <c r="W822" s="1175"/>
      <c r="X822" s="1175"/>
      <c r="Y822" s="1175"/>
      <c r="Z822" s="1175"/>
      <c r="AA822" s="1176"/>
      <c r="AB822" s="1176"/>
      <c r="AC822" s="1176"/>
    </row>
    <row r="823" spans="2:29">
      <c r="B823" s="1175">
        <v>850012436</v>
      </c>
      <c r="C823" s="1175" t="s">
        <v>1026</v>
      </c>
      <c r="D823" s="1175" t="s">
        <v>2076</v>
      </c>
      <c r="F823" s="1175">
        <v>850021742</v>
      </c>
      <c r="G823" s="1175" t="s">
        <v>1488</v>
      </c>
      <c r="H823" s="1178" t="s">
        <v>1937</v>
      </c>
      <c r="I823" s="1178"/>
      <c r="J823" s="1178"/>
      <c r="K823" s="1178"/>
      <c r="P823" s="1175"/>
      <c r="Q823" s="1175"/>
      <c r="R823" s="1175"/>
      <c r="S823" s="1175"/>
      <c r="T823" s="1175"/>
      <c r="U823" s="1175"/>
      <c r="V823" s="1175"/>
      <c r="W823" s="1175"/>
      <c r="X823" s="1175"/>
      <c r="Y823" s="1175"/>
      <c r="Z823" s="1175"/>
      <c r="AA823" s="1176"/>
      <c r="AB823" s="1176"/>
      <c r="AC823" s="1176"/>
    </row>
    <row r="824" spans="2:29">
      <c r="B824" s="1175">
        <v>850012436</v>
      </c>
      <c r="C824" s="1175" t="s">
        <v>1026</v>
      </c>
      <c r="D824" s="1175" t="s">
        <v>2076</v>
      </c>
      <c r="F824" s="1175">
        <v>850022153</v>
      </c>
      <c r="G824" s="1175" t="s">
        <v>1489</v>
      </c>
      <c r="H824" s="1178" t="s">
        <v>1938</v>
      </c>
      <c r="I824" s="1178"/>
      <c r="J824" s="1178"/>
      <c r="K824" s="1178"/>
      <c r="P824" s="1175"/>
      <c r="Q824" s="1175"/>
      <c r="R824" s="1175"/>
      <c r="S824" s="1175"/>
      <c r="T824" s="1175"/>
      <c r="U824" s="1175"/>
      <c r="V824" s="1175"/>
      <c r="W824" s="1175"/>
      <c r="X824" s="1175"/>
      <c r="Y824" s="1175"/>
      <c r="Z824" s="1175"/>
      <c r="AA824" s="1176"/>
      <c r="AB824" s="1176"/>
      <c r="AC824" s="1176"/>
    </row>
    <row r="825" spans="2:29">
      <c r="B825" s="1175">
        <v>850012436</v>
      </c>
      <c r="C825" s="1175" t="s">
        <v>1026</v>
      </c>
      <c r="D825" s="1175" t="s">
        <v>2076</v>
      </c>
      <c r="F825" s="1175">
        <v>850024423</v>
      </c>
      <c r="G825" s="1175" t="s">
        <v>1490</v>
      </c>
      <c r="H825" s="1178" t="s">
        <v>1939</v>
      </c>
      <c r="I825" s="1178"/>
      <c r="J825" s="1178"/>
      <c r="K825" s="1178"/>
      <c r="P825" s="1175"/>
      <c r="Q825" s="1175"/>
      <c r="R825" s="1175"/>
      <c r="S825" s="1175"/>
      <c r="T825" s="1175"/>
      <c r="U825" s="1175"/>
      <c r="V825" s="1175"/>
      <c r="W825" s="1175"/>
      <c r="X825" s="1175"/>
      <c r="Y825" s="1175"/>
      <c r="Z825" s="1175"/>
      <c r="AA825" s="1176"/>
      <c r="AB825" s="1176"/>
      <c r="AC825" s="1176"/>
    </row>
    <row r="826" spans="2:29">
      <c r="B826" s="1175">
        <v>850012436</v>
      </c>
      <c r="C826" s="1175" t="s">
        <v>1026</v>
      </c>
      <c r="D826" s="1175" t="s">
        <v>2076</v>
      </c>
      <c r="F826" s="1175">
        <v>850024423</v>
      </c>
      <c r="G826" s="1175" t="s">
        <v>1490</v>
      </c>
      <c r="H826" s="1178" t="s">
        <v>1939</v>
      </c>
      <c r="I826" s="1178"/>
      <c r="J826" s="1178"/>
      <c r="K826" s="1178"/>
      <c r="P826" s="1175"/>
      <c r="Q826" s="1175"/>
      <c r="R826" s="1175"/>
      <c r="S826" s="1175"/>
      <c r="T826" s="1175"/>
      <c r="U826" s="1175"/>
      <c r="V826" s="1175"/>
      <c r="W826" s="1175"/>
      <c r="X826" s="1175"/>
      <c r="Y826" s="1175"/>
      <c r="Z826" s="1175"/>
      <c r="AA826" s="1176"/>
      <c r="AB826" s="1176"/>
      <c r="AC826" s="1176"/>
    </row>
    <row r="827" spans="2:29">
      <c r="B827" s="1175">
        <v>850012436</v>
      </c>
      <c r="C827" s="1175" t="s">
        <v>1026</v>
      </c>
      <c r="D827" s="1175" t="s">
        <v>2076</v>
      </c>
      <c r="F827" s="1175">
        <v>850024779</v>
      </c>
      <c r="G827" s="1175" t="s">
        <v>1491</v>
      </c>
      <c r="H827" s="1178" t="s">
        <v>1940</v>
      </c>
      <c r="I827" s="1178"/>
      <c r="J827" s="1178"/>
      <c r="K827" s="1178"/>
      <c r="P827" s="1175"/>
      <c r="Q827" s="1175"/>
      <c r="R827" s="1175"/>
      <c r="S827" s="1175"/>
      <c r="T827" s="1175"/>
      <c r="U827" s="1175"/>
      <c r="V827" s="1175"/>
      <c r="W827" s="1175"/>
      <c r="X827" s="1175"/>
      <c r="Y827" s="1175"/>
      <c r="Z827" s="1175"/>
      <c r="AA827" s="1176"/>
      <c r="AB827" s="1176"/>
      <c r="AC827" s="1176"/>
    </row>
    <row r="828" spans="2:29">
      <c r="B828" s="1175">
        <v>850012436</v>
      </c>
      <c r="C828" s="1175" t="s">
        <v>1026</v>
      </c>
      <c r="D828" s="1175" t="s">
        <v>2076</v>
      </c>
      <c r="F828" s="1175">
        <v>850024787</v>
      </c>
      <c r="G828" s="1175" t="s">
        <v>1492</v>
      </c>
      <c r="H828" s="1178" t="s">
        <v>1941</v>
      </c>
      <c r="I828" s="1178"/>
      <c r="J828" s="1178"/>
      <c r="K828" s="1178"/>
      <c r="P828" s="1175"/>
      <c r="Q828" s="1175"/>
      <c r="R828" s="1175"/>
      <c r="S828" s="1175"/>
      <c r="T828" s="1175"/>
      <c r="U828" s="1175"/>
      <c r="V828" s="1175"/>
      <c r="W828" s="1175"/>
      <c r="X828" s="1175"/>
      <c r="Y828" s="1175"/>
      <c r="Z828" s="1175"/>
      <c r="AA828" s="1176"/>
      <c r="AB828" s="1176"/>
      <c r="AC828" s="1176"/>
    </row>
    <row r="829" spans="2:29">
      <c r="B829" s="1175">
        <v>850012436</v>
      </c>
      <c r="C829" s="1175" t="s">
        <v>1026</v>
      </c>
      <c r="D829" s="1175" t="s">
        <v>2076</v>
      </c>
      <c r="F829" s="1175">
        <v>850024811</v>
      </c>
      <c r="G829" s="1175" t="s">
        <v>962</v>
      </c>
      <c r="H829" s="1178" t="s">
        <v>1942</v>
      </c>
      <c r="I829" s="1178"/>
      <c r="J829" s="1178"/>
      <c r="K829" s="1178"/>
      <c r="P829" s="1175"/>
      <c r="Q829" s="1175"/>
      <c r="R829" s="1175"/>
      <c r="S829" s="1175"/>
      <c r="T829" s="1175"/>
      <c r="U829" s="1175"/>
      <c r="V829" s="1175"/>
      <c r="W829" s="1175"/>
      <c r="X829" s="1175"/>
      <c r="Y829" s="1175"/>
      <c r="Z829" s="1175"/>
      <c r="AA829" s="1176"/>
      <c r="AB829" s="1176"/>
      <c r="AC829" s="1176"/>
    </row>
    <row r="830" spans="2:29">
      <c r="B830" s="1175">
        <v>850012436</v>
      </c>
      <c r="C830" s="1175" t="s">
        <v>1026</v>
      </c>
      <c r="D830" s="1175" t="s">
        <v>2076</v>
      </c>
      <c r="F830" s="1175">
        <v>850025198</v>
      </c>
      <c r="G830" s="1175" t="s">
        <v>1493</v>
      </c>
      <c r="H830" s="1178" t="s">
        <v>1940</v>
      </c>
      <c r="I830" s="1178"/>
      <c r="J830" s="1178"/>
      <c r="K830" s="1178"/>
      <c r="P830" s="1175"/>
      <c r="Q830" s="1175"/>
      <c r="R830" s="1175"/>
      <c r="S830" s="1175"/>
      <c r="T830" s="1175"/>
      <c r="U830" s="1175"/>
      <c r="V830" s="1175"/>
      <c r="W830" s="1175"/>
      <c r="X830" s="1175"/>
      <c r="Y830" s="1175"/>
      <c r="Z830" s="1175"/>
      <c r="AA830" s="1176"/>
      <c r="AB830" s="1176"/>
      <c r="AC830" s="1175"/>
    </row>
    <row r="831" spans="2:29">
      <c r="B831" s="1175">
        <v>850012436</v>
      </c>
      <c r="C831" s="1175" t="s">
        <v>1026</v>
      </c>
      <c r="D831" s="1175" t="s">
        <v>2076</v>
      </c>
      <c r="F831" s="1175">
        <v>850025388</v>
      </c>
      <c r="G831" s="1175" t="s">
        <v>1494</v>
      </c>
      <c r="H831" s="1178" t="s">
        <v>1943</v>
      </c>
      <c r="I831" s="1178"/>
      <c r="J831" s="1178"/>
      <c r="K831" s="1178"/>
      <c r="P831" s="1175"/>
      <c r="Q831" s="1175"/>
      <c r="R831" s="1175"/>
      <c r="S831" s="1175"/>
      <c r="T831" s="1175"/>
      <c r="U831" s="1175"/>
      <c r="V831" s="1175"/>
      <c r="W831" s="1175"/>
      <c r="X831" s="1175"/>
      <c r="Y831" s="1175"/>
      <c r="Z831" s="1175"/>
      <c r="AA831" s="1176"/>
      <c r="AB831" s="1176"/>
      <c r="AC831" s="1176"/>
    </row>
    <row r="832" spans="2:29">
      <c r="B832" s="1175">
        <v>850012436</v>
      </c>
      <c r="C832" s="1175" t="s">
        <v>1026</v>
      </c>
      <c r="D832" s="1175" t="s">
        <v>2076</v>
      </c>
      <c r="F832" s="1175">
        <v>850026071</v>
      </c>
      <c r="G832" s="1175" t="s">
        <v>1495</v>
      </c>
      <c r="H832" s="1178" t="s">
        <v>1944</v>
      </c>
      <c r="I832" s="1178"/>
      <c r="J832" s="1178"/>
      <c r="K832" s="1178"/>
      <c r="P832" s="1175"/>
      <c r="Q832" s="1175"/>
      <c r="R832" s="1175"/>
      <c r="S832" s="1175"/>
      <c r="T832" s="1175"/>
      <c r="U832" s="1175"/>
      <c r="V832" s="1175"/>
      <c r="W832" s="1175"/>
      <c r="X832" s="1175"/>
      <c r="Y832" s="1175"/>
      <c r="Z832" s="1175"/>
      <c r="AA832" s="1176"/>
      <c r="AB832" s="1176"/>
      <c r="AC832" s="1176"/>
    </row>
    <row r="833" spans="2:29">
      <c r="B833" s="1175">
        <v>850012436</v>
      </c>
      <c r="C833" s="1175" t="s">
        <v>1026</v>
      </c>
      <c r="D833" s="1175" t="s">
        <v>2076</v>
      </c>
      <c r="F833" s="1175">
        <v>850026139</v>
      </c>
      <c r="G833" s="1175" t="s">
        <v>1356</v>
      </c>
      <c r="H833" s="1178" t="s">
        <v>1943</v>
      </c>
      <c r="I833" s="1178"/>
      <c r="J833" s="1178"/>
      <c r="K833" s="1178"/>
      <c r="P833" s="1175"/>
      <c r="Q833" s="1175"/>
      <c r="R833" s="1175"/>
      <c r="S833" s="1175"/>
      <c r="T833" s="1175"/>
      <c r="U833" s="1175"/>
      <c r="V833" s="1175"/>
      <c r="W833" s="1175"/>
      <c r="X833" s="1175"/>
      <c r="Y833" s="1175"/>
      <c r="Z833" s="1175"/>
      <c r="AA833" s="1176"/>
      <c r="AB833" s="1176"/>
      <c r="AC833" s="1176"/>
    </row>
    <row r="834" spans="2:29">
      <c r="B834" s="1175">
        <v>850012436</v>
      </c>
      <c r="C834" s="1175" t="s">
        <v>1026</v>
      </c>
      <c r="D834" s="1175" t="s">
        <v>2076</v>
      </c>
      <c r="F834" s="1175">
        <v>850026311</v>
      </c>
      <c r="G834" s="1175" t="s">
        <v>1496</v>
      </c>
      <c r="H834" s="1178" t="s">
        <v>1945</v>
      </c>
      <c r="I834" s="1178"/>
      <c r="J834" s="1178"/>
      <c r="K834" s="1178"/>
      <c r="P834" s="1175"/>
      <c r="Q834" s="1175"/>
      <c r="R834" s="1175"/>
      <c r="S834" s="1175"/>
      <c r="T834" s="1175"/>
      <c r="U834" s="1175"/>
      <c r="V834" s="1175"/>
      <c r="W834" s="1175"/>
      <c r="X834" s="1175"/>
      <c r="Y834" s="1175"/>
      <c r="Z834" s="1175"/>
      <c r="AA834" s="1176"/>
      <c r="AB834" s="1176"/>
      <c r="AC834" s="1176"/>
    </row>
    <row r="835" spans="2:29">
      <c r="B835" s="1175">
        <v>850012436</v>
      </c>
      <c r="C835" s="1175" t="s">
        <v>1026</v>
      </c>
      <c r="D835" s="1175" t="s">
        <v>2076</v>
      </c>
      <c r="F835" s="1175">
        <v>850026394</v>
      </c>
      <c r="G835" s="1175" t="s">
        <v>960</v>
      </c>
      <c r="H835" s="1178" t="s">
        <v>1943</v>
      </c>
      <c r="I835" s="1178"/>
      <c r="J835" s="1178"/>
      <c r="K835" s="1178"/>
      <c r="P835" s="1175"/>
      <c r="Q835" s="1175"/>
      <c r="R835" s="1175"/>
      <c r="S835" s="1175"/>
      <c r="T835" s="1175"/>
      <c r="U835" s="1175"/>
      <c r="V835" s="1175"/>
      <c r="W835" s="1175"/>
      <c r="X835" s="1175"/>
      <c r="Y835" s="1175"/>
      <c r="Z835" s="1175"/>
      <c r="AA835" s="1176"/>
      <c r="AB835" s="1176"/>
      <c r="AC835" s="1176"/>
    </row>
    <row r="836" spans="2:29">
      <c r="B836" s="1175">
        <v>850012436</v>
      </c>
      <c r="C836" s="1175" t="s">
        <v>1026</v>
      </c>
      <c r="D836" s="1175" t="s">
        <v>2076</v>
      </c>
      <c r="F836" s="1175">
        <v>850026618</v>
      </c>
      <c r="G836" s="1175" t="s">
        <v>1497</v>
      </c>
      <c r="H836" s="1178" t="s">
        <v>1946</v>
      </c>
      <c r="I836" s="1178"/>
      <c r="J836" s="1178"/>
      <c r="K836" s="1178"/>
      <c r="P836" s="1175"/>
      <c r="Q836" s="1175"/>
      <c r="R836" s="1175"/>
      <c r="S836" s="1175"/>
      <c r="T836" s="1175"/>
      <c r="U836" s="1175"/>
      <c r="V836" s="1175"/>
      <c r="W836" s="1175"/>
      <c r="X836" s="1175"/>
      <c r="Y836" s="1175"/>
      <c r="Z836" s="1175"/>
      <c r="AA836" s="1176"/>
      <c r="AB836" s="1176"/>
      <c r="AC836" s="1176"/>
    </row>
    <row r="837" spans="2:29">
      <c r="B837" s="1175">
        <v>850013277</v>
      </c>
      <c r="C837" s="1175" t="s">
        <v>1498</v>
      </c>
      <c r="D837" s="1175" t="s">
        <v>2077</v>
      </c>
      <c r="F837" s="1175">
        <v>850012261</v>
      </c>
      <c r="G837" s="1175" t="s">
        <v>1499</v>
      </c>
      <c r="H837" s="1178" t="s">
        <v>1947</v>
      </c>
      <c r="I837" s="1178"/>
      <c r="J837" s="1178"/>
      <c r="K837" s="1178"/>
      <c r="P837" s="1175"/>
      <c r="Q837" s="1175"/>
      <c r="R837" s="1175"/>
      <c r="S837" s="1175"/>
      <c r="T837" s="1175"/>
      <c r="U837" s="1175"/>
      <c r="V837" s="1175"/>
      <c r="W837" s="1175"/>
      <c r="X837" s="1175"/>
      <c r="Y837" s="1175"/>
      <c r="Z837" s="1175"/>
      <c r="AA837" s="1176"/>
      <c r="AB837" s="1176"/>
      <c r="AC837" s="1176"/>
    </row>
    <row r="838" spans="2:29">
      <c r="B838" s="1175">
        <v>850017237</v>
      </c>
      <c r="C838" s="1175" t="s">
        <v>978</v>
      </c>
      <c r="D838" s="1175" t="s">
        <v>2078</v>
      </c>
      <c r="F838" s="1175">
        <v>850011263</v>
      </c>
      <c r="G838" s="1175" t="s">
        <v>1500</v>
      </c>
      <c r="H838" s="1178" t="s">
        <v>1948</v>
      </c>
      <c r="I838" s="1178"/>
      <c r="J838" s="1178"/>
      <c r="K838" s="1178"/>
      <c r="P838" s="1175"/>
      <c r="Q838" s="1175"/>
      <c r="R838" s="1175"/>
      <c r="S838" s="1175"/>
      <c r="T838" s="1175"/>
      <c r="U838" s="1175"/>
      <c r="V838" s="1175"/>
      <c r="W838" s="1175"/>
      <c r="X838" s="1175"/>
      <c r="Y838" s="1175"/>
      <c r="Z838" s="1175"/>
      <c r="AA838" s="1176"/>
      <c r="AB838" s="1176"/>
      <c r="AC838" s="1175"/>
    </row>
    <row r="839" spans="2:29">
      <c r="B839" s="1175">
        <v>850017237</v>
      </c>
      <c r="C839" s="1175" t="s">
        <v>978</v>
      </c>
      <c r="D839" s="1175" t="s">
        <v>2078</v>
      </c>
      <c r="F839" s="1175">
        <v>850011263</v>
      </c>
      <c r="G839" s="1175" t="s">
        <v>1500</v>
      </c>
      <c r="H839" s="1178" t="s">
        <v>1948</v>
      </c>
      <c r="I839" s="1178"/>
      <c r="J839" s="1178"/>
      <c r="K839" s="1178"/>
      <c r="P839" s="1175"/>
      <c r="Q839" s="1175"/>
      <c r="R839" s="1175"/>
      <c r="S839" s="1175"/>
      <c r="T839" s="1175"/>
      <c r="U839" s="1175"/>
      <c r="V839" s="1175"/>
      <c r="W839" s="1175"/>
      <c r="X839" s="1175"/>
      <c r="Y839" s="1175"/>
      <c r="Z839" s="1175"/>
      <c r="AA839" s="1176"/>
      <c r="AB839" s="1176"/>
      <c r="AC839" s="1176"/>
    </row>
    <row r="840" spans="2:29">
      <c r="B840" s="1175">
        <v>850020413</v>
      </c>
      <c r="C840" s="1175" t="s">
        <v>950</v>
      </c>
      <c r="D840" s="1175" t="s">
        <v>2010</v>
      </c>
      <c r="F840" s="1175">
        <v>850000159</v>
      </c>
      <c r="G840" s="1175" t="s">
        <v>951</v>
      </c>
      <c r="H840" s="1178" t="s">
        <v>1949</v>
      </c>
      <c r="I840" s="1178"/>
      <c r="J840" s="1178"/>
      <c r="K840" s="1178"/>
      <c r="P840" s="1175"/>
      <c r="Q840" s="1175"/>
      <c r="R840" s="1175"/>
      <c r="S840" s="1175"/>
      <c r="T840" s="1175"/>
      <c r="U840" s="1175"/>
      <c r="V840" s="1175"/>
      <c r="W840" s="1175"/>
      <c r="X840" s="1175"/>
      <c r="Y840" s="1175"/>
      <c r="Z840" s="1175"/>
      <c r="AA840" s="1176"/>
      <c r="AB840" s="1176"/>
      <c r="AC840" s="1176"/>
    </row>
    <row r="841" spans="2:29">
      <c r="B841" s="1175">
        <v>850020413</v>
      </c>
      <c r="C841" s="1175" t="s">
        <v>950</v>
      </c>
      <c r="D841" s="1175" t="s">
        <v>2010</v>
      </c>
      <c r="F841" s="1175">
        <v>850016551</v>
      </c>
      <c r="G841" s="1175" t="s">
        <v>1501</v>
      </c>
      <c r="H841" s="1178" t="s">
        <v>1950</v>
      </c>
      <c r="I841" s="1178"/>
      <c r="J841" s="1178"/>
      <c r="K841" s="1178"/>
      <c r="P841" s="1175"/>
      <c r="Q841" s="1175"/>
      <c r="R841" s="1175"/>
      <c r="S841" s="1175"/>
      <c r="T841" s="1175"/>
      <c r="U841" s="1175"/>
      <c r="V841" s="1175"/>
      <c r="W841" s="1175"/>
      <c r="X841" s="1175"/>
      <c r="Y841" s="1175"/>
      <c r="Z841" s="1175"/>
      <c r="AA841" s="1176"/>
      <c r="AB841" s="1176"/>
      <c r="AC841" s="1176"/>
    </row>
    <row r="842" spans="2:29">
      <c r="B842" s="1175">
        <v>850020413</v>
      </c>
      <c r="C842" s="1175" t="s">
        <v>950</v>
      </c>
      <c r="D842" s="1175" t="s">
        <v>2010</v>
      </c>
      <c r="F842" s="1175">
        <v>850016973</v>
      </c>
      <c r="G842" s="1175" t="s">
        <v>1502</v>
      </c>
      <c r="H842" s="1178" t="s">
        <v>1951</v>
      </c>
      <c r="I842" s="1178"/>
      <c r="J842" s="1178"/>
      <c r="K842" s="1178"/>
      <c r="P842" s="1175"/>
      <c r="Q842" s="1175"/>
      <c r="R842" s="1175"/>
      <c r="S842" s="1175"/>
      <c r="T842" s="1175"/>
      <c r="U842" s="1175"/>
      <c r="V842" s="1175"/>
      <c r="W842" s="1175"/>
      <c r="X842" s="1175"/>
      <c r="Y842" s="1175"/>
      <c r="Z842" s="1175"/>
      <c r="AA842" s="1176"/>
      <c r="AB842" s="1176"/>
      <c r="AC842" s="1176"/>
    </row>
    <row r="843" spans="2:29">
      <c r="B843" s="1175">
        <v>850020413</v>
      </c>
      <c r="C843" s="1175" t="s">
        <v>950</v>
      </c>
      <c r="D843" s="1175" t="s">
        <v>2010</v>
      </c>
      <c r="F843" s="1175">
        <v>850016973</v>
      </c>
      <c r="G843" s="1175" t="s">
        <v>1502</v>
      </c>
      <c r="H843" s="1178" t="s">
        <v>1951</v>
      </c>
      <c r="I843" s="1178"/>
      <c r="J843" s="1178"/>
      <c r="K843" s="1178"/>
      <c r="P843" s="1175"/>
      <c r="Q843" s="1175"/>
      <c r="R843" s="1175"/>
      <c r="S843" s="1175"/>
      <c r="T843" s="1175"/>
      <c r="U843" s="1175"/>
      <c r="V843" s="1175"/>
      <c r="W843" s="1175"/>
      <c r="X843" s="1175"/>
      <c r="Y843" s="1175"/>
      <c r="Z843" s="1175"/>
      <c r="AA843" s="1176"/>
      <c r="AB843" s="1176"/>
      <c r="AC843" s="1176"/>
    </row>
    <row r="844" spans="2:29">
      <c r="B844" s="1175">
        <v>850020413</v>
      </c>
      <c r="C844" s="1175" t="s">
        <v>950</v>
      </c>
      <c r="D844" s="1175" t="s">
        <v>2010</v>
      </c>
      <c r="F844" s="1175">
        <v>850016973</v>
      </c>
      <c r="G844" s="1175" t="s">
        <v>1502</v>
      </c>
      <c r="H844" s="1178" t="s">
        <v>1951</v>
      </c>
      <c r="I844" s="1178"/>
      <c r="J844" s="1178"/>
      <c r="K844" s="1178"/>
      <c r="P844" s="1175"/>
      <c r="Q844" s="1175"/>
      <c r="R844" s="1175"/>
      <c r="S844" s="1175"/>
      <c r="T844" s="1175"/>
      <c r="U844" s="1175"/>
      <c r="V844" s="1175"/>
      <c r="W844" s="1175"/>
      <c r="X844" s="1175"/>
      <c r="Y844" s="1175"/>
      <c r="Z844" s="1175"/>
      <c r="AA844" s="1176"/>
      <c r="AB844" s="1176"/>
      <c r="AC844" s="1176"/>
    </row>
    <row r="845" spans="2:29">
      <c r="B845" s="1175">
        <v>850020413</v>
      </c>
      <c r="C845" s="1175" t="s">
        <v>950</v>
      </c>
      <c r="D845" s="1175" t="s">
        <v>2010</v>
      </c>
      <c r="F845" s="1175">
        <v>850023797</v>
      </c>
      <c r="G845" s="1175" t="s">
        <v>1503</v>
      </c>
      <c r="H845" s="1178" t="s">
        <v>1952</v>
      </c>
      <c r="I845" s="1178"/>
      <c r="J845" s="1178"/>
      <c r="K845" s="1178"/>
      <c r="P845" s="1175"/>
      <c r="Q845" s="1175"/>
      <c r="R845" s="1175"/>
      <c r="S845" s="1175"/>
      <c r="T845" s="1175"/>
      <c r="U845" s="1175"/>
      <c r="V845" s="1175"/>
      <c r="W845" s="1175"/>
      <c r="X845" s="1175"/>
      <c r="Y845" s="1175"/>
      <c r="Z845" s="1175"/>
      <c r="AA845" s="1176"/>
      <c r="AB845" s="1176"/>
      <c r="AC845" s="1176"/>
    </row>
    <row r="846" spans="2:29">
      <c r="B846" s="1175">
        <v>850021486</v>
      </c>
      <c r="C846" s="1175" t="s">
        <v>1064</v>
      </c>
      <c r="D846" s="1175" t="s">
        <v>2079</v>
      </c>
      <c r="F846" s="1175">
        <v>850004938</v>
      </c>
      <c r="G846" s="1175" t="s">
        <v>1136</v>
      </c>
      <c r="H846" s="1178" t="s">
        <v>1953</v>
      </c>
      <c r="I846" s="1178"/>
      <c r="J846" s="1178"/>
      <c r="K846" s="1178"/>
      <c r="P846" s="1175"/>
      <c r="Q846" s="1175"/>
      <c r="R846" s="1175"/>
      <c r="S846" s="1175"/>
      <c r="T846" s="1175"/>
      <c r="U846" s="1175"/>
      <c r="V846" s="1175"/>
      <c r="W846" s="1175"/>
      <c r="X846" s="1175"/>
      <c r="Y846" s="1175"/>
      <c r="Z846" s="1175"/>
      <c r="AA846" s="1176"/>
      <c r="AB846" s="1176"/>
      <c r="AC846" s="1176"/>
    </row>
    <row r="847" spans="2:29">
      <c r="B847" s="1175">
        <v>850021486</v>
      </c>
      <c r="C847" s="1175" t="s">
        <v>1064</v>
      </c>
      <c r="D847" s="1175" t="s">
        <v>2079</v>
      </c>
      <c r="F847" s="1175">
        <v>850004938</v>
      </c>
      <c r="G847" s="1175" t="s">
        <v>1136</v>
      </c>
      <c r="H847" s="1178" t="s">
        <v>1953</v>
      </c>
      <c r="I847" s="1178"/>
      <c r="J847" s="1178"/>
      <c r="K847" s="1178"/>
      <c r="P847" s="1175"/>
      <c r="Q847" s="1175"/>
      <c r="R847" s="1175"/>
      <c r="S847" s="1175"/>
      <c r="T847" s="1175"/>
      <c r="U847" s="1175"/>
      <c r="V847" s="1175"/>
      <c r="W847" s="1175"/>
      <c r="X847" s="1175"/>
      <c r="Y847" s="1175"/>
      <c r="Z847" s="1175"/>
      <c r="AA847" s="1176"/>
      <c r="AB847" s="1176"/>
      <c r="AC847" s="1176"/>
    </row>
    <row r="848" spans="2:29">
      <c r="B848" s="1175">
        <v>850021486</v>
      </c>
      <c r="C848" s="1175" t="s">
        <v>1064</v>
      </c>
      <c r="D848" s="1175" t="s">
        <v>2079</v>
      </c>
      <c r="F848" s="1175">
        <v>850021312</v>
      </c>
      <c r="G848" s="1175" t="s">
        <v>1504</v>
      </c>
      <c r="H848" s="1178" t="s">
        <v>1953</v>
      </c>
      <c r="I848" s="1178"/>
      <c r="J848" s="1178"/>
      <c r="K848" s="1178"/>
      <c r="P848" s="1175"/>
      <c r="Q848" s="1175"/>
      <c r="R848" s="1175"/>
      <c r="S848" s="1175"/>
      <c r="T848" s="1175"/>
      <c r="U848" s="1175"/>
      <c r="V848" s="1175"/>
      <c r="W848" s="1175"/>
      <c r="X848" s="1175"/>
      <c r="Y848" s="1175"/>
      <c r="Z848" s="1175"/>
      <c r="AA848" s="1176"/>
      <c r="AB848" s="1176"/>
      <c r="AC848" s="1176"/>
    </row>
    <row r="849" spans="2:29">
      <c r="B849" s="1175">
        <v>850021486</v>
      </c>
      <c r="C849" s="1175" t="s">
        <v>1064</v>
      </c>
      <c r="D849" s="1175" t="s">
        <v>2079</v>
      </c>
      <c r="F849" s="1175">
        <v>850021312</v>
      </c>
      <c r="G849" s="1175" t="s">
        <v>1504</v>
      </c>
      <c r="H849" s="1178" t="s">
        <v>1953</v>
      </c>
      <c r="I849" s="1178"/>
      <c r="J849" s="1178"/>
      <c r="K849" s="1178"/>
      <c r="P849" s="1175"/>
      <c r="Q849" s="1175"/>
      <c r="R849" s="1175"/>
      <c r="S849" s="1175"/>
      <c r="T849" s="1175"/>
      <c r="U849" s="1175"/>
      <c r="V849" s="1175"/>
      <c r="W849" s="1175"/>
      <c r="X849" s="1175"/>
      <c r="Y849" s="1175"/>
      <c r="Z849" s="1175"/>
      <c r="AA849" s="1176"/>
      <c r="AB849" s="1176"/>
      <c r="AC849" s="1176"/>
    </row>
    <row r="850" spans="2:29">
      <c r="B850" s="1175">
        <v>850023581</v>
      </c>
      <c r="C850" s="1175" t="s">
        <v>1054</v>
      </c>
      <c r="D850" s="1175" t="s">
        <v>2080</v>
      </c>
      <c r="F850" s="1175">
        <v>850022336</v>
      </c>
      <c r="G850" s="1175" t="s">
        <v>1505</v>
      </c>
      <c r="H850" s="1178" t="s">
        <v>1954</v>
      </c>
      <c r="I850" s="1178"/>
      <c r="J850" s="1178"/>
      <c r="K850" s="1178"/>
      <c r="P850" s="1175"/>
      <c r="Q850" s="1175"/>
      <c r="R850" s="1175"/>
      <c r="S850" s="1175"/>
      <c r="T850" s="1175"/>
      <c r="U850" s="1175"/>
      <c r="V850" s="1175"/>
      <c r="W850" s="1175"/>
      <c r="X850" s="1175"/>
      <c r="Y850" s="1175"/>
      <c r="Z850" s="1175"/>
      <c r="AA850" s="1176"/>
      <c r="AB850" s="1176"/>
      <c r="AC850" s="1176"/>
    </row>
    <row r="851" spans="2:29">
      <c r="B851" s="1175">
        <v>850023581</v>
      </c>
      <c r="C851" s="1175" t="s">
        <v>1054</v>
      </c>
      <c r="D851" s="1175" t="s">
        <v>2080</v>
      </c>
      <c r="F851" s="1175">
        <v>850022336</v>
      </c>
      <c r="G851" s="1175" t="s">
        <v>1505</v>
      </c>
      <c r="H851" s="1178" t="s">
        <v>1954</v>
      </c>
      <c r="I851" s="1178"/>
      <c r="J851" s="1178"/>
      <c r="K851" s="1178"/>
      <c r="P851" s="1175"/>
      <c r="Q851" s="1175"/>
      <c r="R851" s="1175"/>
      <c r="S851" s="1175"/>
      <c r="T851" s="1175"/>
      <c r="U851" s="1175"/>
      <c r="V851" s="1175"/>
      <c r="W851" s="1175"/>
      <c r="X851" s="1175"/>
      <c r="Y851" s="1175"/>
      <c r="Z851" s="1175"/>
      <c r="AA851" s="1176"/>
      <c r="AB851" s="1176"/>
      <c r="AC851" s="1176"/>
    </row>
    <row r="852" spans="2:29">
      <c r="B852" s="1175">
        <v>850023581</v>
      </c>
      <c r="C852" s="1175" t="s">
        <v>1054</v>
      </c>
      <c r="D852" s="1175" t="s">
        <v>2080</v>
      </c>
      <c r="F852" s="1175">
        <v>850022336</v>
      </c>
      <c r="G852" s="1175" t="s">
        <v>1505</v>
      </c>
      <c r="H852" s="1178" t="s">
        <v>1954</v>
      </c>
      <c r="I852" s="1178"/>
      <c r="J852" s="1178"/>
      <c r="K852" s="1178"/>
      <c r="P852" s="1175"/>
      <c r="Q852" s="1175"/>
      <c r="R852" s="1175"/>
      <c r="S852" s="1175"/>
      <c r="T852" s="1175"/>
      <c r="U852" s="1175"/>
      <c r="V852" s="1175"/>
      <c r="W852" s="1175"/>
      <c r="X852" s="1175"/>
      <c r="Y852" s="1175"/>
      <c r="Z852" s="1175"/>
      <c r="AA852" s="1176"/>
      <c r="AB852" s="1176"/>
      <c r="AC852" s="1176"/>
    </row>
    <row r="853" spans="2:29">
      <c r="B853" s="1175">
        <v>850023664</v>
      </c>
      <c r="C853" s="1175" t="s">
        <v>1506</v>
      </c>
      <c r="D853" s="1175" t="s">
        <v>2081</v>
      </c>
      <c r="F853" s="1175">
        <v>850023672</v>
      </c>
      <c r="G853" s="1175" t="s">
        <v>1507</v>
      </c>
      <c r="H853" s="1178" t="s">
        <v>1955</v>
      </c>
      <c r="I853" s="1178"/>
      <c r="J853" s="1178"/>
      <c r="K853" s="1178"/>
      <c r="P853" s="1175"/>
      <c r="Q853" s="1175"/>
      <c r="R853" s="1175"/>
      <c r="S853" s="1175"/>
      <c r="T853" s="1175"/>
      <c r="U853" s="1175"/>
      <c r="V853" s="1175"/>
      <c r="W853" s="1175"/>
      <c r="X853" s="1175"/>
      <c r="Y853" s="1175"/>
      <c r="Z853" s="1175"/>
      <c r="AA853" s="1176"/>
      <c r="AB853" s="1176"/>
      <c r="AC853" s="1176"/>
    </row>
    <row r="854" spans="2:29">
      <c r="B854" s="1175">
        <v>850025867</v>
      </c>
      <c r="C854" s="1175" t="s">
        <v>1055</v>
      </c>
      <c r="D854" s="1175" t="s">
        <v>2082</v>
      </c>
      <c r="F854" s="1175">
        <v>850026386</v>
      </c>
      <c r="G854" s="1175" t="s">
        <v>960</v>
      </c>
      <c r="H854" s="1178" t="s">
        <v>1956</v>
      </c>
      <c r="I854" s="1178"/>
      <c r="J854" s="1178"/>
      <c r="K854" s="1178"/>
      <c r="P854" s="1175"/>
      <c r="Q854" s="1175"/>
      <c r="R854" s="1175"/>
      <c r="S854" s="1175"/>
      <c r="T854" s="1175"/>
      <c r="U854" s="1175"/>
      <c r="V854" s="1175"/>
      <c r="W854" s="1175"/>
      <c r="X854" s="1175"/>
      <c r="Y854" s="1175"/>
      <c r="Z854" s="1175"/>
      <c r="AA854" s="1176"/>
      <c r="AB854" s="1176"/>
      <c r="AC854" s="1176"/>
    </row>
    <row r="855" spans="2:29">
      <c r="B855" s="1175">
        <v>920809829</v>
      </c>
      <c r="C855" s="1175" t="s">
        <v>1051</v>
      </c>
      <c r="D855" s="1175" t="s">
        <v>2014</v>
      </c>
      <c r="F855" s="1175">
        <v>850010992</v>
      </c>
      <c r="G855" s="1175" t="s">
        <v>1508</v>
      </c>
      <c r="H855" s="1178" t="s">
        <v>1957</v>
      </c>
      <c r="I855" s="1178"/>
      <c r="J855" s="1178"/>
      <c r="K855" s="1178"/>
      <c r="P855" s="1175"/>
      <c r="Q855" s="1175"/>
      <c r="R855" s="1175"/>
      <c r="S855" s="1175"/>
      <c r="T855" s="1175"/>
      <c r="U855" s="1175"/>
      <c r="V855" s="1175"/>
      <c r="W855" s="1175"/>
      <c r="X855" s="1175"/>
      <c r="Y855" s="1175"/>
      <c r="Z855" s="1175"/>
      <c r="AA855" s="1176"/>
      <c r="AB855" s="1176"/>
      <c r="AC855" s="1176"/>
    </row>
    <row r="856" spans="2:29">
      <c r="B856" s="1175">
        <v>920809829</v>
      </c>
      <c r="C856" s="1175" t="s">
        <v>1051</v>
      </c>
      <c r="D856" s="1175" t="s">
        <v>2014</v>
      </c>
      <c r="F856" s="1175">
        <v>850010992</v>
      </c>
      <c r="G856" s="1175" t="s">
        <v>1508</v>
      </c>
      <c r="H856" s="1178" t="s">
        <v>1957</v>
      </c>
      <c r="I856" s="1178"/>
      <c r="J856" s="1178"/>
      <c r="K856" s="1178"/>
      <c r="P856" s="1175"/>
      <c r="Q856" s="1175"/>
      <c r="R856" s="1175"/>
      <c r="S856" s="1175"/>
      <c r="T856" s="1175"/>
      <c r="U856" s="1175"/>
      <c r="V856" s="1175"/>
      <c r="W856" s="1175"/>
      <c r="X856" s="1175"/>
      <c r="Y856" s="1175"/>
      <c r="Z856" s="1175"/>
      <c r="AA856" s="1176"/>
      <c r="AB856" s="1176"/>
      <c r="AC856" s="1176"/>
    </row>
    <row r="857" spans="2:29">
      <c r="B857" s="1175">
        <v>920809829</v>
      </c>
      <c r="C857" s="1175" t="s">
        <v>1051</v>
      </c>
      <c r="D857" s="1175" t="s">
        <v>2014</v>
      </c>
      <c r="F857" s="1175">
        <v>850010992</v>
      </c>
      <c r="G857" s="1175" t="s">
        <v>1508</v>
      </c>
      <c r="H857" s="1178" t="s">
        <v>1957</v>
      </c>
      <c r="I857" s="1178"/>
      <c r="J857" s="1178"/>
      <c r="K857" s="1178"/>
      <c r="P857" s="1175"/>
      <c r="Q857" s="1175"/>
      <c r="R857" s="1175"/>
      <c r="S857" s="1175"/>
      <c r="T857" s="1175"/>
      <c r="U857" s="1175"/>
      <c r="V857" s="1175"/>
      <c r="W857" s="1175"/>
      <c r="X857" s="1175"/>
      <c r="Y857" s="1175"/>
      <c r="Z857" s="1175"/>
      <c r="AA857" s="1176"/>
      <c r="AB857" s="1176"/>
      <c r="AC857" s="1176"/>
    </row>
    <row r="858" spans="2:29">
      <c r="B858" s="1175">
        <v>930712393</v>
      </c>
      <c r="C858" s="1175" t="s">
        <v>1509</v>
      </c>
      <c r="D858" s="1175" t="s">
        <v>2083</v>
      </c>
      <c r="F858" s="1175">
        <v>850000407</v>
      </c>
      <c r="G858" s="1175" t="s">
        <v>1510</v>
      </c>
      <c r="H858" s="1178" t="s">
        <v>1958</v>
      </c>
      <c r="I858" s="1178"/>
      <c r="J858" s="1178"/>
      <c r="K858" s="1178"/>
      <c r="P858" s="1175"/>
      <c r="Q858" s="1175"/>
      <c r="R858" s="1175"/>
      <c r="S858" s="1175"/>
      <c r="T858" s="1175"/>
      <c r="U858" s="1175"/>
      <c r="V858" s="1175"/>
      <c r="W858" s="1175"/>
      <c r="X858" s="1175"/>
      <c r="Y858" s="1175"/>
      <c r="Z858" s="1175"/>
      <c r="AA858" s="1176"/>
      <c r="AB858" s="1176"/>
      <c r="AC858" s="1176"/>
    </row>
    <row r="859" spans="2:29">
      <c r="B859" s="1175">
        <v>850012436</v>
      </c>
      <c r="C859" s="1175" t="s">
        <v>1026</v>
      </c>
      <c r="D859" s="1175" t="s">
        <v>2076</v>
      </c>
      <c r="F859" s="1175">
        <v>850025388</v>
      </c>
      <c r="G859" s="1175" t="s">
        <v>1494</v>
      </c>
      <c r="H859" s="1178" t="s">
        <v>1943</v>
      </c>
      <c r="I859" s="1178"/>
      <c r="J859" s="1178"/>
      <c r="K859" s="1178"/>
      <c r="P859" s="1175"/>
      <c r="Q859" s="1175"/>
      <c r="R859" s="1175"/>
      <c r="S859" s="1175"/>
      <c r="T859" s="1175"/>
      <c r="U859" s="1175"/>
      <c r="V859" s="1175"/>
      <c r="W859" s="1175"/>
      <c r="X859" s="1175"/>
      <c r="Y859" s="1175"/>
      <c r="Z859" s="1175"/>
      <c r="AA859" s="1176"/>
      <c r="AB859" s="1176"/>
      <c r="AC859" s="1176"/>
    </row>
    <row r="860" spans="2:29">
      <c r="B860" s="1175">
        <v>850012436</v>
      </c>
      <c r="C860" s="1175" t="s">
        <v>1026</v>
      </c>
      <c r="D860" s="1175" t="s">
        <v>2076</v>
      </c>
      <c r="F860" s="1175">
        <v>850025388</v>
      </c>
      <c r="G860" s="1175" t="s">
        <v>1494</v>
      </c>
      <c r="H860" s="1178" t="s">
        <v>1943</v>
      </c>
      <c r="I860" s="1178"/>
      <c r="J860" s="1178"/>
      <c r="K860" s="1178"/>
      <c r="P860" s="1175"/>
      <c r="Q860" s="1175"/>
      <c r="R860" s="1175"/>
      <c r="S860" s="1175"/>
      <c r="T860" s="1175"/>
      <c r="U860" s="1175"/>
      <c r="V860" s="1175"/>
      <c r="W860" s="1175"/>
      <c r="X860" s="1175"/>
      <c r="Y860" s="1175"/>
      <c r="Z860" s="1175"/>
      <c r="AA860" s="1176"/>
      <c r="AB860" s="1176"/>
      <c r="AC860" s="1176"/>
    </row>
    <row r="861" spans="2:29">
      <c r="B861" s="1175">
        <v>850012436</v>
      </c>
      <c r="C861" s="1175" t="s">
        <v>1026</v>
      </c>
      <c r="D861" s="1175" t="s">
        <v>2076</v>
      </c>
      <c r="F861" s="1175">
        <v>850025750</v>
      </c>
      <c r="G861" s="1175" t="s">
        <v>1511</v>
      </c>
      <c r="H861" s="1178" t="s">
        <v>1959</v>
      </c>
      <c r="I861" s="1178"/>
      <c r="J861" s="1178"/>
      <c r="K861" s="1178"/>
      <c r="P861" s="1175"/>
      <c r="Q861" s="1175"/>
      <c r="R861" s="1175"/>
      <c r="S861" s="1175"/>
      <c r="T861" s="1175"/>
      <c r="U861" s="1175"/>
      <c r="V861" s="1175"/>
      <c r="W861" s="1175"/>
      <c r="X861" s="1175"/>
      <c r="Y861" s="1175"/>
      <c r="Z861" s="1175"/>
      <c r="AA861" s="1176"/>
      <c r="AB861" s="1176"/>
      <c r="AC861" s="1176"/>
    </row>
    <row r="862" spans="2:29">
      <c r="B862" s="1175">
        <v>850012436</v>
      </c>
      <c r="C862" s="1175" t="s">
        <v>1026</v>
      </c>
      <c r="D862" s="1175" t="s">
        <v>2076</v>
      </c>
      <c r="F862" s="1175">
        <v>850025750</v>
      </c>
      <c r="G862" s="1175" t="s">
        <v>1511</v>
      </c>
      <c r="H862" s="1178" t="s">
        <v>1959</v>
      </c>
      <c r="I862" s="1178"/>
      <c r="J862" s="1178"/>
      <c r="K862" s="1178"/>
      <c r="P862" s="1175"/>
      <c r="Q862" s="1175"/>
      <c r="R862" s="1175"/>
      <c r="S862" s="1175"/>
      <c r="T862" s="1175"/>
      <c r="U862" s="1175"/>
      <c r="V862" s="1175"/>
      <c r="W862" s="1175"/>
      <c r="X862" s="1175"/>
      <c r="Y862" s="1175"/>
      <c r="Z862" s="1175"/>
      <c r="AA862" s="1176"/>
      <c r="AB862" s="1176"/>
      <c r="AC862" s="1176"/>
    </row>
    <row r="863" spans="2:29">
      <c r="B863" s="1175">
        <v>850012436</v>
      </c>
      <c r="C863" s="1175" t="s">
        <v>1026</v>
      </c>
      <c r="D863" s="1175" t="s">
        <v>2076</v>
      </c>
      <c r="F863" s="1175">
        <v>850025933</v>
      </c>
      <c r="G863" s="1175" t="s">
        <v>1512</v>
      </c>
      <c r="H863" s="1178" t="s">
        <v>1960</v>
      </c>
      <c r="I863" s="1178"/>
      <c r="J863" s="1178"/>
      <c r="K863" s="1178"/>
      <c r="P863" s="1175"/>
      <c r="Q863" s="1175"/>
      <c r="R863" s="1175"/>
      <c r="S863" s="1175"/>
      <c r="T863" s="1175"/>
      <c r="U863" s="1175"/>
      <c r="V863" s="1175"/>
      <c r="W863" s="1175"/>
      <c r="X863" s="1175"/>
      <c r="Y863" s="1175"/>
      <c r="Z863" s="1175"/>
      <c r="AA863" s="1176"/>
      <c r="AB863" s="1176"/>
      <c r="AC863" s="1176"/>
    </row>
    <row r="864" spans="2:29">
      <c r="B864" s="1175">
        <v>850013087</v>
      </c>
      <c r="C864" s="1175" t="s">
        <v>1513</v>
      </c>
      <c r="D864" s="1175" t="s">
        <v>2084</v>
      </c>
      <c r="F864" s="1175">
        <v>850004888</v>
      </c>
      <c r="G864" s="1175" t="s">
        <v>1514</v>
      </c>
      <c r="H864" s="1178" t="s">
        <v>1961</v>
      </c>
      <c r="I864" s="1178"/>
      <c r="J864" s="1178"/>
      <c r="K864" s="1178"/>
      <c r="P864" s="1175"/>
      <c r="Q864" s="1175"/>
      <c r="R864" s="1175"/>
      <c r="S864" s="1175"/>
      <c r="T864" s="1175"/>
      <c r="U864" s="1175"/>
      <c r="V864" s="1175"/>
      <c r="W864" s="1175"/>
      <c r="X864" s="1175"/>
      <c r="Y864" s="1175"/>
      <c r="Z864" s="1175"/>
      <c r="AA864" s="1176"/>
      <c r="AB864" s="1176"/>
      <c r="AC864" s="1176"/>
    </row>
    <row r="865" spans="2:29">
      <c r="B865" s="1175">
        <v>850013087</v>
      </c>
      <c r="C865" s="1175" t="s">
        <v>1513</v>
      </c>
      <c r="D865" s="1175" t="s">
        <v>2084</v>
      </c>
      <c r="F865" s="1175">
        <v>850004888</v>
      </c>
      <c r="G865" s="1175" t="s">
        <v>1514</v>
      </c>
      <c r="H865" s="1178" t="s">
        <v>1961</v>
      </c>
      <c r="I865" s="1178"/>
      <c r="J865" s="1178"/>
      <c r="K865" s="1178"/>
      <c r="P865" s="1175"/>
      <c r="Q865" s="1175"/>
      <c r="R865" s="1175"/>
      <c r="S865" s="1175"/>
      <c r="T865" s="1175"/>
      <c r="U865" s="1175"/>
      <c r="V865" s="1175"/>
      <c r="W865" s="1175"/>
      <c r="X865" s="1175"/>
      <c r="Y865" s="1175"/>
      <c r="Z865" s="1175"/>
      <c r="AA865" s="1176"/>
      <c r="AB865" s="1176"/>
      <c r="AC865" s="1175"/>
    </row>
    <row r="866" spans="2:29">
      <c r="B866" s="1175">
        <v>850013087</v>
      </c>
      <c r="C866" s="1175" t="s">
        <v>1513</v>
      </c>
      <c r="D866" s="1175" t="s">
        <v>2084</v>
      </c>
      <c r="F866" s="1175">
        <v>850004888</v>
      </c>
      <c r="G866" s="1175" t="s">
        <v>1514</v>
      </c>
      <c r="H866" s="1178" t="s">
        <v>1961</v>
      </c>
      <c r="I866" s="1178"/>
      <c r="J866" s="1178"/>
      <c r="K866" s="1178"/>
      <c r="P866" s="1175"/>
      <c r="Q866" s="1175"/>
      <c r="R866" s="1175"/>
      <c r="S866" s="1175"/>
      <c r="T866" s="1175"/>
      <c r="U866" s="1175"/>
      <c r="V866" s="1175"/>
      <c r="W866" s="1175"/>
      <c r="X866" s="1175"/>
      <c r="Y866" s="1175"/>
      <c r="Z866" s="1175"/>
      <c r="AA866" s="1176"/>
      <c r="AB866" s="1176"/>
      <c r="AC866" s="1176"/>
    </row>
    <row r="867" spans="2:29">
      <c r="B867" s="1175">
        <v>850013087</v>
      </c>
      <c r="C867" s="1175" t="s">
        <v>1513</v>
      </c>
      <c r="D867" s="1175" t="s">
        <v>2084</v>
      </c>
      <c r="F867" s="1175">
        <v>850017336</v>
      </c>
      <c r="G867" s="1175" t="s">
        <v>1515</v>
      </c>
      <c r="H867" s="1178" t="s">
        <v>1962</v>
      </c>
      <c r="I867" s="1178"/>
      <c r="J867" s="1178"/>
      <c r="K867" s="1178"/>
      <c r="P867" s="1175"/>
      <c r="Q867" s="1175"/>
      <c r="R867" s="1175"/>
      <c r="S867" s="1175"/>
      <c r="T867" s="1175"/>
      <c r="U867" s="1175"/>
      <c r="V867" s="1175"/>
      <c r="W867" s="1175"/>
      <c r="X867" s="1175"/>
      <c r="Y867" s="1175"/>
      <c r="Z867" s="1175"/>
      <c r="AA867" s="1176"/>
      <c r="AB867" s="1176"/>
      <c r="AC867" s="1176"/>
    </row>
    <row r="868" spans="2:29">
      <c r="B868" s="1175">
        <v>850020413</v>
      </c>
      <c r="C868" s="1175" t="s">
        <v>950</v>
      </c>
      <c r="D868" s="1175" t="s">
        <v>2010</v>
      </c>
      <c r="F868" s="1175">
        <v>850000159</v>
      </c>
      <c r="G868" s="1175" t="s">
        <v>951</v>
      </c>
      <c r="H868" s="1178" t="s">
        <v>1949</v>
      </c>
      <c r="I868" s="1178"/>
      <c r="J868" s="1178"/>
      <c r="K868" s="1178"/>
      <c r="P868" s="1175"/>
      <c r="Q868" s="1175"/>
      <c r="R868" s="1175"/>
      <c r="S868" s="1175"/>
      <c r="T868" s="1175"/>
      <c r="U868" s="1175"/>
      <c r="V868" s="1175"/>
      <c r="W868" s="1175"/>
      <c r="X868" s="1175"/>
      <c r="Y868" s="1175"/>
      <c r="Z868" s="1175"/>
      <c r="AA868" s="1176"/>
      <c r="AB868" s="1176"/>
      <c r="AC868" s="1176"/>
    </row>
    <row r="869" spans="2:29">
      <c r="B869" s="1175">
        <v>850020413</v>
      </c>
      <c r="C869" s="1175" t="s">
        <v>950</v>
      </c>
      <c r="D869" s="1175" t="s">
        <v>2010</v>
      </c>
      <c r="F869" s="1175">
        <v>850000167</v>
      </c>
      <c r="G869" s="1175" t="s">
        <v>1516</v>
      </c>
      <c r="H869" s="1178" t="s">
        <v>1963</v>
      </c>
      <c r="I869" s="1178"/>
      <c r="J869" s="1178"/>
      <c r="K869" s="1178"/>
      <c r="P869" s="1175"/>
      <c r="Q869" s="1175"/>
      <c r="R869" s="1175"/>
      <c r="S869" s="1175"/>
      <c r="T869" s="1175"/>
      <c r="U869" s="1175"/>
      <c r="V869" s="1175"/>
      <c r="W869" s="1175"/>
      <c r="X869" s="1175"/>
      <c r="Y869" s="1175"/>
      <c r="Z869" s="1175"/>
      <c r="AA869" s="1176"/>
      <c r="AB869" s="1176"/>
      <c r="AC869" s="1176"/>
    </row>
    <row r="870" spans="2:29">
      <c r="B870" s="1175">
        <v>850020413</v>
      </c>
      <c r="C870" s="1175" t="s">
        <v>950</v>
      </c>
      <c r="D870" s="1175" t="s">
        <v>2010</v>
      </c>
      <c r="F870" s="1175">
        <v>850000167</v>
      </c>
      <c r="G870" s="1175" t="s">
        <v>1516</v>
      </c>
      <c r="H870" s="1178" t="s">
        <v>1963</v>
      </c>
      <c r="I870" s="1178"/>
      <c r="J870" s="1178"/>
      <c r="K870" s="1178"/>
      <c r="P870" s="1175"/>
      <c r="Q870" s="1175"/>
      <c r="R870" s="1175"/>
      <c r="S870" s="1175"/>
      <c r="T870" s="1175"/>
      <c r="U870" s="1175"/>
      <c r="V870" s="1175"/>
      <c r="W870" s="1175"/>
      <c r="X870" s="1175"/>
      <c r="Y870" s="1175"/>
      <c r="Z870" s="1175"/>
      <c r="AA870" s="1176"/>
      <c r="AB870" s="1176"/>
      <c r="AC870" s="1176"/>
    </row>
    <row r="871" spans="2:29">
      <c r="B871" s="1175">
        <v>850020413</v>
      </c>
      <c r="C871" s="1175" t="s">
        <v>950</v>
      </c>
      <c r="D871" s="1175" t="s">
        <v>2010</v>
      </c>
      <c r="F871" s="1175">
        <v>850006495</v>
      </c>
      <c r="G871" s="1175" t="s">
        <v>1228</v>
      </c>
      <c r="H871" s="1178" t="s">
        <v>1964</v>
      </c>
      <c r="I871" s="1178"/>
      <c r="J871" s="1178"/>
      <c r="K871" s="1178"/>
      <c r="P871" s="1175"/>
      <c r="Q871" s="1175"/>
      <c r="R871" s="1175"/>
      <c r="S871" s="1175"/>
      <c r="T871" s="1175"/>
      <c r="U871" s="1175"/>
      <c r="V871" s="1175"/>
      <c r="W871" s="1175"/>
      <c r="X871" s="1175"/>
      <c r="Y871" s="1175"/>
      <c r="Z871" s="1175"/>
      <c r="AA871" s="1176"/>
      <c r="AB871" s="1176"/>
      <c r="AC871" s="1176"/>
    </row>
    <row r="872" spans="2:29">
      <c r="B872" s="1175">
        <v>850020413</v>
      </c>
      <c r="C872" s="1175" t="s">
        <v>950</v>
      </c>
      <c r="D872" s="1175" t="s">
        <v>2010</v>
      </c>
      <c r="F872" s="1175">
        <v>850009754</v>
      </c>
      <c r="G872" s="1175" t="s">
        <v>1228</v>
      </c>
      <c r="H872" s="1178" t="s">
        <v>1965</v>
      </c>
      <c r="I872" s="1178"/>
      <c r="J872" s="1178"/>
      <c r="K872" s="1178"/>
      <c r="P872" s="1175"/>
      <c r="Q872" s="1175"/>
      <c r="R872" s="1175"/>
      <c r="S872" s="1175"/>
      <c r="T872" s="1175"/>
      <c r="U872" s="1175"/>
      <c r="V872" s="1175"/>
      <c r="W872" s="1175"/>
      <c r="X872" s="1175"/>
      <c r="Y872" s="1175"/>
      <c r="Z872" s="1175"/>
      <c r="AA872" s="1176"/>
      <c r="AB872" s="1176"/>
      <c r="AC872" s="1176"/>
    </row>
    <row r="873" spans="2:29">
      <c r="B873" s="1175">
        <v>850020413</v>
      </c>
      <c r="C873" s="1175" t="s">
        <v>950</v>
      </c>
      <c r="D873" s="1175" t="s">
        <v>2010</v>
      </c>
      <c r="F873" s="1175">
        <v>850016973</v>
      </c>
      <c r="G873" s="1175" t="s">
        <v>1502</v>
      </c>
      <c r="H873" s="1178" t="s">
        <v>1951</v>
      </c>
      <c r="I873" s="1178"/>
      <c r="J873" s="1178"/>
      <c r="K873" s="1178"/>
      <c r="P873" s="1175"/>
      <c r="Q873" s="1175"/>
      <c r="R873" s="1175"/>
      <c r="S873" s="1175"/>
      <c r="T873" s="1175"/>
      <c r="U873" s="1175"/>
      <c r="V873" s="1175"/>
      <c r="W873" s="1175"/>
      <c r="X873" s="1175"/>
      <c r="Y873" s="1175"/>
      <c r="Z873" s="1175"/>
      <c r="AA873" s="1176"/>
      <c r="AB873" s="1176"/>
      <c r="AC873" s="1176"/>
    </row>
    <row r="874" spans="2:29">
      <c r="B874" s="1175">
        <v>850020413</v>
      </c>
      <c r="C874" s="1175" t="s">
        <v>950</v>
      </c>
      <c r="D874" s="1175" t="s">
        <v>2010</v>
      </c>
      <c r="F874" s="1175">
        <v>850017914</v>
      </c>
      <c r="G874" s="1175" t="s">
        <v>1228</v>
      </c>
      <c r="H874" s="1178" t="s">
        <v>1966</v>
      </c>
      <c r="I874" s="1178"/>
      <c r="J874" s="1178"/>
      <c r="K874" s="1178"/>
      <c r="P874" s="1175"/>
      <c r="Q874" s="1175"/>
      <c r="R874" s="1175"/>
      <c r="S874" s="1175"/>
      <c r="T874" s="1175"/>
      <c r="U874" s="1175"/>
      <c r="V874" s="1175"/>
      <c r="W874" s="1175"/>
      <c r="X874" s="1175"/>
      <c r="Y874" s="1175"/>
      <c r="Z874" s="1175"/>
      <c r="AA874" s="1176"/>
      <c r="AB874" s="1176"/>
      <c r="AC874" s="1176"/>
    </row>
    <row r="875" spans="2:29">
      <c r="B875" s="1175">
        <v>850020413</v>
      </c>
      <c r="C875" s="1175" t="s">
        <v>950</v>
      </c>
      <c r="D875" s="1175" t="s">
        <v>2010</v>
      </c>
      <c r="F875" s="1175">
        <v>850017922</v>
      </c>
      <c r="G875" s="1175" t="s">
        <v>1228</v>
      </c>
      <c r="H875" s="1178" t="s">
        <v>1967</v>
      </c>
      <c r="I875" s="1178"/>
      <c r="J875" s="1178"/>
      <c r="K875" s="1178"/>
      <c r="P875" s="1175"/>
      <c r="Q875" s="1175"/>
      <c r="R875" s="1175"/>
      <c r="S875" s="1175"/>
      <c r="T875" s="1175"/>
      <c r="U875" s="1175"/>
      <c r="V875" s="1175"/>
      <c r="W875" s="1175"/>
      <c r="X875" s="1175"/>
      <c r="Y875" s="1175"/>
      <c r="Z875" s="1175"/>
      <c r="AA875" s="1176"/>
      <c r="AB875" s="1176"/>
      <c r="AC875" s="1176"/>
    </row>
    <row r="876" spans="2:29">
      <c r="B876" s="1175">
        <v>850020413</v>
      </c>
      <c r="C876" s="1175" t="s">
        <v>950</v>
      </c>
      <c r="D876" s="1175" t="s">
        <v>2010</v>
      </c>
      <c r="F876" s="1175">
        <v>850018102</v>
      </c>
      <c r="G876" s="1175" t="s">
        <v>1228</v>
      </c>
      <c r="H876" s="1178" t="s">
        <v>1968</v>
      </c>
      <c r="I876" s="1178"/>
      <c r="J876" s="1178"/>
      <c r="K876" s="1178"/>
      <c r="P876" s="1175"/>
      <c r="Q876" s="1175"/>
      <c r="R876" s="1175"/>
      <c r="S876" s="1175"/>
      <c r="T876" s="1175"/>
      <c r="U876" s="1175"/>
      <c r="V876" s="1175"/>
      <c r="W876" s="1175"/>
      <c r="X876" s="1175"/>
      <c r="Y876" s="1175"/>
      <c r="Z876" s="1175"/>
      <c r="AA876" s="1176"/>
      <c r="AB876" s="1176"/>
      <c r="AC876" s="1176"/>
    </row>
    <row r="877" spans="2:29">
      <c r="B877" s="1175">
        <v>850020413</v>
      </c>
      <c r="C877" s="1175" t="s">
        <v>950</v>
      </c>
      <c r="D877" s="1175" t="s">
        <v>2010</v>
      </c>
      <c r="F877" s="1175">
        <v>850018300</v>
      </c>
      <c r="G877" s="1175" t="s">
        <v>1517</v>
      </c>
      <c r="H877" s="1178" t="s">
        <v>1969</v>
      </c>
      <c r="I877" s="1178"/>
      <c r="J877" s="1178"/>
      <c r="K877" s="1178"/>
      <c r="P877" s="1175"/>
      <c r="Q877" s="1175"/>
      <c r="R877" s="1175"/>
      <c r="S877" s="1175"/>
      <c r="T877" s="1175"/>
      <c r="U877" s="1175"/>
      <c r="V877" s="1175"/>
      <c r="W877" s="1175"/>
      <c r="X877" s="1175"/>
      <c r="Y877" s="1175"/>
      <c r="Z877" s="1175"/>
      <c r="AA877" s="1176"/>
      <c r="AB877" s="1176"/>
      <c r="AC877" s="1175"/>
    </row>
    <row r="878" spans="2:29">
      <c r="B878" s="1175">
        <v>850021486</v>
      </c>
      <c r="C878" s="1175" t="s">
        <v>1064</v>
      </c>
      <c r="D878" s="1175" t="s">
        <v>2079</v>
      </c>
      <c r="F878" s="1175">
        <v>850021312</v>
      </c>
      <c r="G878" s="1175" t="s">
        <v>1504</v>
      </c>
      <c r="H878" s="1178" t="s">
        <v>1953</v>
      </c>
      <c r="I878" s="1178"/>
      <c r="J878" s="1178"/>
      <c r="K878" s="1178"/>
      <c r="P878" s="1175"/>
      <c r="Q878" s="1175"/>
      <c r="R878" s="1175"/>
      <c r="S878" s="1175"/>
      <c r="T878" s="1175"/>
      <c r="U878" s="1175"/>
      <c r="V878" s="1175"/>
      <c r="W878" s="1175"/>
      <c r="X878" s="1175"/>
      <c r="Y878" s="1175"/>
      <c r="Z878" s="1175"/>
      <c r="AA878" s="1176"/>
      <c r="AB878" s="1176"/>
      <c r="AC878" s="1176"/>
    </row>
    <row r="879" spans="2:29">
      <c r="B879" s="1175">
        <v>850023581</v>
      </c>
      <c r="C879" s="1175" t="s">
        <v>1054</v>
      </c>
      <c r="D879" s="1175" t="s">
        <v>2080</v>
      </c>
      <c r="F879" s="1175">
        <v>850017641</v>
      </c>
      <c r="G879" s="1175" t="s">
        <v>1518</v>
      </c>
      <c r="H879" s="1178" t="s">
        <v>1970</v>
      </c>
      <c r="I879" s="1178"/>
      <c r="J879" s="1178"/>
      <c r="K879" s="1178"/>
      <c r="P879" s="1175"/>
      <c r="Q879" s="1175"/>
      <c r="R879" s="1175"/>
      <c r="S879" s="1175"/>
      <c r="T879" s="1175"/>
      <c r="U879" s="1175"/>
      <c r="V879" s="1175"/>
      <c r="W879" s="1175"/>
      <c r="X879" s="1175"/>
      <c r="Y879" s="1175"/>
      <c r="Z879" s="1175"/>
      <c r="AA879" s="1176"/>
      <c r="AB879" s="1176"/>
      <c r="AC879" s="1176"/>
    </row>
    <row r="880" spans="2:29">
      <c r="B880" s="1175">
        <v>850023581</v>
      </c>
      <c r="C880" s="1175" t="s">
        <v>1054</v>
      </c>
      <c r="D880" s="1175" t="s">
        <v>2080</v>
      </c>
      <c r="F880" s="1175">
        <v>850017641</v>
      </c>
      <c r="G880" s="1175" t="s">
        <v>1518</v>
      </c>
      <c r="H880" s="1178" t="s">
        <v>1970</v>
      </c>
      <c r="I880" s="1178"/>
      <c r="J880" s="1178"/>
      <c r="K880" s="1178"/>
      <c r="P880" s="1175"/>
      <c r="Q880" s="1175"/>
      <c r="R880" s="1175"/>
      <c r="S880" s="1175"/>
      <c r="T880" s="1175"/>
      <c r="U880" s="1175"/>
      <c r="V880" s="1175"/>
      <c r="W880" s="1175"/>
      <c r="X880" s="1175"/>
      <c r="Y880" s="1175"/>
      <c r="Z880" s="1175"/>
      <c r="AA880" s="1176"/>
      <c r="AB880" s="1176"/>
      <c r="AC880" s="1176"/>
    </row>
    <row r="881" spans="2:29">
      <c r="B881" s="1175">
        <v>850023581</v>
      </c>
      <c r="C881" s="1175" t="s">
        <v>1054</v>
      </c>
      <c r="D881" s="1175" t="s">
        <v>2080</v>
      </c>
      <c r="F881" s="1175">
        <v>850017641</v>
      </c>
      <c r="G881" s="1175" t="s">
        <v>1518</v>
      </c>
      <c r="H881" s="1178" t="s">
        <v>1970</v>
      </c>
      <c r="I881" s="1178"/>
      <c r="J881" s="1178"/>
      <c r="K881" s="1178"/>
      <c r="P881" s="1175"/>
      <c r="Q881" s="1175"/>
      <c r="R881" s="1175"/>
      <c r="S881" s="1175"/>
      <c r="T881" s="1175"/>
      <c r="U881" s="1175"/>
      <c r="V881" s="1175"/>
      <c r="W881" s="1175"/>
      <c r="X881" s="1175"/>
      <c r="Y881" s="1175"/>
      <c r="Z881" s="1175"/>
      <c r="AA881" s="1176"/>
      <c r="AB881" s="1176"/>
      <c r="AC881" s="1176"/>
    </row>
    <row r="882" spans="2:29">
      <c r="B882" s="1175">
        <v>850025867</v>
      </c>
      <c r="C882" s="1175" t="s">
        <v>1055</v>
      </c>
      <c r="D882" s="1175" t="s">
        <v>2082</v>
      </c>
      <c r="F882" s="1175">
        <v>850010398</v>
      </c>
      <c r="G882" s="1175" t="s">
        <v>1519</v>
      </c>
      <c r="H882" s="1178" t="s">
        <v>1971</v>
      </c>
      <c r="I882" s="1178"/>
      <c r="J882" s="1178"/>
      <c r="K882" s="1178"/>
      <c r="P882" s="1175"/>
      <c r="Q882" s="1175"/>
      <c r="R882" s="1175"/>
      <c r="S882" s="1175"/>
      <c r="T882" s="1175"/>
      <c r="U882" s="1175"/>
      <c r="V882" s="1175"/>
      <c r="W882" s="1175"/>
      <c r="X882" s="1175"/>
      <c r="Y882" s="1175"/>
      <c r="Z882" s="1175"/>
      <c r="AA882" s="1176"/>
      <c r="AB882" s="1176"/>
      <c r="AC882" s="1176"/>
    </row>
    <row r="883" spans="2:29">
      <c r="B883" s="1175">
        <v>850025867</v>
      </c>
      <c r="C883" s="1175" t="s">
        <v>1055</v>
      </c>
      <c r="D883" s="1175" t="s">
        <v>2082</v>
      </c>
      <c r="F883" s="1175">
        <v>850020173</v>
      </c>
      <c r="G883" s="1175" t="s">
        <v>1520</v>
      </c>
      <c r="H883" s="1178" t="s">
        <v>1972</v>
      </c>
      <c r="I883" s="1178"/>
      <c r="J883" s="1178"/>
      <c r="K883" s="1178"/>
      <c r="P883" s="1175"/>
      <c r="Q883" s="1175"/>
      <c r="R883" s="1175"/>
      <c r="S883" s="1175"/>
      <c r="T883" s="1175"/>
      <c r="U883" s="1175"/>
      <c r="V883" s="1175"/>
      <c r="W883" s="1175"/>
      <c r="X883" s="1175"/>
      <c r="Y883" s="1175"/>
      <c r="Z883" s="1175"/>
      <c r="AA883" s="1176"/>
      <c r="AB883" s="1176"/>
      <c r="AC883" s="1176"/>
    </row>
    <row r="884" spans="2:29">
      <c r="B884" s="1175">
        <v>850025867</v>
      </c>
      <c r="C884" s="1175" t="s">
        <v>1055</v>
      </c>
      <c r="D884" s="1175" t="s">
        <v>2082</v>
      </c>
      <c r="F884" s="1175">
        <v>850020173</v>
      </c>
      <c r="G884" s="1175" t="s">
        <v>1520</v>
      </c>
      <c r="H884" s="1178" t="s">
        <v>1972</v>
      </c>
      <c r="I884" s="1178"/>
      <c r="J884" s="1178"/>
      <c r="K884" s="1178"/>
      <c r="P884" s="1175"/>
      <c r="Q884" s="1175"/>
      <c r="R884" s="1175"/>
      <c r="S884" s="1175"/>
      <c r="T884" s="1175"/>
      <c r="U884" s="1175"/>
      <c r="V884" s="1175"/>
      <c r="W884" s="1175"/>
      <c r="X884" s="1175"/>
      <c r="Y884" s="1175"/>
      <c r="Z884" s="1175"/>
      <c r="AA884" s="1176"/>
      <c r="AB884" s="1176"/>
      <c r="AC884" s="1176"/>
    </row>
    <row r="885" spans="2:29">
      <c r="B885" s="1175">
        <v>850025867</v>
      </c>
      <c r="C885" s="1175" t="s">
        <v>1055</v>
      </c>
      <c r="D885" s="1175" t="s">
        <v>2082</v>
      </c>
      <c r="F885" s="1175">
        <v>850020173</v>
      </c>
      <c r="G885" s="1175" t="s">
        <v>1520</v>
      </c>
      <c r="H885" s="1178" t="s">
        <v>1972</v>
      </c>
      <c r="I885" s="1178"/>
      <c r="J885" s="1178"/>
      <c r="K885" s="1178"/>
      <c r="P885" s="1175"/>
      <c r="Q885" s="1175"/>
      <c r="R885" s="1175"/>
      <c r="S885" s="1175"/>
      <c r="T885" s="1175"/>
      <c r="U885" s="1175"/>
      <c r="V885" s="1175"/>
      <c r="W885" s="1175"/>
      <c r="X885" s="1175"/>
      <c r="Y885" s="1175"/>
      <c r="Z885" s="1175"/>
      <c r="AA885" s="1176"/>
      <c r="AB885" s="1176"/>
      <c r="AC885" s="1176"/>
    </row>
    <row r="886" spans="2:29">
      <c r="B886" s="1175">
        <v>930712393</v>
      </c>
      <c r="C886" s="1175" t="s">
        <v>1509</v>
      </c>
      <c r="D886" s="1175" t="s">
        <v>2083</v>
      </c>
      <c r="F886" s="1175">
        <v>850000407</v>
      </c>
      <c r="G886" s="1175" t="s">
        <v>1510</v>
      </c>
      <c r="H886" s="1178" t="s">
        <v>1958</v>
      </c>
      <c r="I886" s="1178"/>
      <c r="J886" s="1178"/>
      <c r="K886" s="1178"/>
      <c r="P886" s="1175"/>
      <c r="Q886" s="1175"/>
      <c r="R886" s="1175"/>
      <c r="S886" s="1175"/>
      <c r="T886" s="1175"/>
      <c r="U886" s="1175"/>
      <c r="V886" s="1175"/>
      <c r="W886" s="1175"/>
      <c r="X886" s="1175"/>
      <c r="Y886" s="1175"/>
      <c r="Z886" s="1175"/>
      <c r="AA886" s="1176"/>
      <c r="AB886" s="1176"/>
      <c r="AC886" s="1176"/>
    </row>
    <row r="887" spans="2:29">
      <c r="B887" s="1175">
        <v>930712393</v>
      </c>
      <c r="C887" s="1175" t="s">
        <v>1509</v>
      </c>
      <c r="D887" s="1175" t="s">
        <v>2083</v>
      </c>
      <c r="F887" s="1175">
        <v>850007519</v>
      </c>
      <c r="G887" s="1175" t="s">
        <v>1521</v>
      </c>
      <c r="H887" s="1178" t="s">
        <v>1973</v>
      </c>
      <c r="I887" s="1178"/>
      <c r="J887" s="1178"/>
      <c r="K887" s="1178"/>
      <c r="P887" s="1175"/>
      <c r="Q887" s="1175"/>
      <c r="R887" s="1175"/>
      <c r="S887" s="1175"/>
      <c r="T887" s="1175"/>
      <c r="U887" s="1175"/>
      <c r="V887" s="1175"/>
      <c r="W887" s="1175"/>
      <c r="X887" s="1175"/>
      <c r="Y887" s="1175"/>
      <c r="Z887" s="1175"/>
      <c r="AA887" s="1176"/>
      <c r="AB887" s="1176"/>
      <c r="AC887" s="1176"/>
    </row>
    <row r="888" spans="2:29">
      <c r="B888" s="1175">
        <v>440018729</v>
      </c>
      <c r="C888" s="1175" t="s">
        <v>2099</v>
      </c>
      <c r="D888" s="1175" t="s">
        <v>2145</v>
      </c>
      <c r="E888" s="1357"/>
      <c r="F888" s="1175">
        <v>440051449</v>
      </c>
      <c r="G888" s="1175" t="s">
        <v>2100</v>
      </c>
      <c r="H888" s="1175" t="s">
        <v>2145</v>
      </c>
      <c r="I888" s="1358"/>
      <c r="O888" s="1175"/>
      <c r="P888" s="1175"/>
      <c r="Q888" s="1175"/>
      <c r="R888" s="1175"/>
      <c r="S888" s="1175"/>
      <c r="T888" s="1175"/>
      <c r="U888" s="1175"/>
      <c r="V888" s="1175"/>
      <c r="W888" s="1175"/>
      <c r="X888" s="1175"/>
      <c r="Y888" s="1175"/>
      <c r="Z888" s="1176"/>
      <c r="AA888" s="1176"/>
      <c r="AB888" s="1176"/>
    </row>
    <row r="889" spans="2:29">
      <c r="B889" s="1175">
        <v>440000289</v>
      </c>
      <c r="C889" s="1175" t="s">
        <v>2101</v>
      </c>
      <c r="D889" s="1175" t="s">
        <v>2147</v>
      </c>
      <c r="E889" s="1357"/>
      <c r="F889" s="1175">
        <v>440030526</v>
      </c>
      <c r="G889" s="1175" t="s">
        <v>2102</v>
      </c>
      <c r="H889" s="1178" t="s">
        <v>2160</v>
      </c>
      <c r="I889" s="1358"/>
      <c r="O889" s="1175"/>
      <c r="P889" s="1175"/>
      <c r="Q889" s="1175"/>
      <c r="R889" s="1175"/>
      <c r="S889" s="1175"/>
      <c r="T889" s="1175"/>
      <c r="U889" s="1175"/>
      <c r="V889" s="1175"/>
      <c r="W889" s="1175"/>
      <c r="X889" s="1175"/>
      <c r="Y889" s="1175"/>
      <c r="Z889" s="1176"/>
      <c r="AA889" s="1176"/>
      <c r="AB889" s="1176"/>
    </row>
    <row r="890" spans="2:29">
      <c r="B890" s="1175">
        <v>750054157</v>
      </c>
      <c r="C890" s="1175" t="s">
        <v>2103</v>
      </c>
      <c r="D890" s="1175" t="s">
        <v>2149</v>
      </c>
      <c r="E890" s="1357"/>
      <c r="F890" s="1175">
        <v>440030013</v>
      </c>
      <c r="G890" s="1175" t="s">
        <v>2104</v>
      </c>
      <c r="H890" s="1178" t="s">
        <v>2161</v>
      </c>
      <c r="I890" s="1358"/>
      <c r="O890" s="1175"/>
      <c r="P890" s="1175"/>
      <c r="Q890" s="1175"/>
      <c r="R890" s="1175"/>
      <c r="S890" s="1175"/>
      <c r="T890" s="1175"/>
      <c r="U890" s="1175"/>
      <c r="V890" s="1175"/>
      <c r="W890" s="1175"/>
      <c r="X890" s="1175"/>
      <c r="Y890" s="1175"/>
      <c r="Z890" s="1176"/>
      <c r="AA890" s="1176"/>
      <c r="AB890" s="1176"/>
    </row>
    <row r="891" spans="2:29">
      <c r="B891" s="1175">
        <v>750054157</v>
      </c>
      <c r="C891" s="1175" t="s">
        <v>2103</v>
      </c>
      <c r="D891" s="1175" t="s">
        <v>2149</v>
      </c>
      <c r="E891" s="1357"/>
      <c r="F891" s="1175">
        <v>440012011</v>
      </c>
      <c r="G891" s="1175" t="s">
        <v>2105</v>
      </c>
      <c r="H891" s="1178" t="s">
        <v>2162</v>
      </c>
      <c r="I891" s="1358"/>
      <c r="O891" s="1175"/>
      <c r="P891" s="1175"/>
      <c r="Q891" s="1175"/>
      <c r="R891" s="1175"/>
      <c r="S891" s="1175"/>
      <c r="T891" s="1175"/>
      <c r="U891" s="1175"/>
      <c r="V891" s="1175"/>
      <c r="W891" s="1175"/>
      <c r="X891" s="1175"/>
      <c r="Y891" s="1175"/>
      <c r="Z891" s="1176"/>
      <c r="AA891" s="1176"/>
      <c r="AB891" s="1176"/>
    </row>
    <row r="892" spans="2:29">
      <c r="B892" s="1175">
        <v>490016813</v>
      </c>
      <c r="C892" s="1175" t="s">
        <v>2106</v>
      </c>
      <c r="D892" s="1175" t="s">
        <v>2143</v>
      </c>
      <c r="E892" s="1357"/>
      <c r="F892" s="1175">
        <v>490537248</v>
      </c>
      <c r="G892" s="1175" t="s">
        <v>2107</v>
      </c>
      <c r="H892" s="1178" t="s">
        <v>2143</v>
      </c>
      <c r="I892" s="1358"/>
      <c r="O892" s="1175"/>
      <c r="P892" s="1175"/>
      <c r="Q892" s="1175"/>
      <c r="R892" s="1175"/>
      <c r="S892" s="1175"/>
      <c r="T892" s="1175"/>
      <c r="U892" s="1175"/>
      <c r="V892" s="1175"/>
      <c r="W892" s="1175"/>
      <c r="X892" s="1175"/>
      <c r="Y892" s="1175"/>
      <c r="Z892" s="1176"/>
      <c r="AA892" s="1176"/>
      <c r="AB892" s="1176"/>
    </row>
    <row r="893" spans="2:29">
      <c r="B893" s="1175">
        <v>530000371</v>
      </c>
      <c r="C893" s="1175" t="s">
        <v>2108</v>
      </c>
      <c r="D893" s="1175" t="s">
        <v>2146</v>
      </c>
      <c r="E893" s="1357"/>
      <c r="F893" s="1175">
        <v>530007236</v>
      </c>
      <c r="G893" s="1175" t="s">
        <v>2109</v>
      </c>
      <c r="H893" s="1178" t="s">
        <v>2163</v>
      </c>
      <c r="I893" s="1358"/>
      <c r="O893" s="1175"/>
      <c r="P893" s="1175"/>
      <c r="Q893" s="1175"/>
      <c r="R893" s="1175"/>
      <c r="S893" s="1175"/>
      <c r="T893" s="1175"/>
      <c r="U893" s="1175"/>
      <c r="V893" s="1175"/>
      <c r="W893" s="1175"/>
      <c r="X893" s="1175"/>
      <c r="Y893" s="1175"/>
      <c r="Z893" s="1176"/>
      <c r="AA893" s="1176"/>
      <c r="AB893" s="1176"/>
    </row>
    <row r="894" spans="2:29">
      <c r="B894" s="1175">
        <v>720008390</v>
      </c>
      <c r="C894" s="1175" t="s">
        <v>2110</v>
      </c>
      <c r="D894" s="1175" t="s">
        <v>2142</v>
      </c>
      <c r="E894" s="1357"/>
      <c r="F894" s="1175">
        <v>720015791</v>
      </c>
      <c r="G894" s="1175" t="s">
        <v>2111</v>
      </c>
      <c r="H894" s="1175" t="s">
        <v>2142</v>
      </c>
      <c r="I894" s="1358"/>
      <c r="O894" s="1175"/>
      <c r="P894" s="1175"/>
      <c r="Q894" s="1175"/>
      <c r="R894" s="1175"/>
      <c r="S894" s="1175"/>
      <c r="T894" s="1175"/>
      <c r="U894" s="1175"/>
      <c r="V894" s="1175"/>
      <c r="W894" s="1175"/>
      <c r="X894" s="1175"/>
      <c r="Y894" s="1175"/>
      <c r="Z894" s="1176"/>
      <c r="AA894" s="1176"/>
      <c r="AB894" s="1176"/>
    </row>
    <row r="895" spans="2:29">
      <c r="B895" s="1175">
        <v>720008705</v>
      </c>
      <c r="C895" s="1175" t="s">
        <v>2112</v>
      </c>
      <c r="D895" s="1175" t="s">
        <v>2151</v>
      </c>
      <c r="E895" s="1357"/>
      <c r="F895" s="1175">
        <v>720008275</v>
      </c>
      <c r="G895" s="1175" t="s">
        <v>2166</v>
      </c>
      <c r="H895" s="1178" t="s">
        <v>2164</v>
      </c>
      <c r="I895" s="1358"/>
      <c r="O895" s="1175"/>
      <c r="P895" s="1175"/>
      <c r="Q895" s="1175"/>
      <c r="R895" s="1175"/>
      <c r="S895" s="1175"/>
      <c r="T895" s="1175"/>
      <c r="U895" s="1175"/>
      <c r="V895" s="1175"/>
      <c r="W895" s="1175"/>
      <c r="X895" s="1175"/>
      <c r="Y895" s="1175"/>
      <c r="Z895" s="1176"/>
      <c r="AA895" s="1176"/>
      <c r="AB895" s="1176"/>
    </row>
    <row r="896" spans="2:29">
      <c r="B896" s="1175">
        <v>720008705</v>
      </c>
      <c r="C896" s="1175" t="s">
        <v>2112</v>
      </c>
      <c r="D896" s="1175" t="s">
        <v>2151</v>
      </c>
      <c r="E896" s="1357"/>
      <c r="F896" s="1175">
        <v>530007343</v>
      </c>
      <c r="G896" s="1175" t="s">
        <v>2159</v>
      </c>
      <c r="H896" s="1178" t="s">
        <v>2165</v>
      </c>
      <c r="I896" s="1358"/>
      <c r="O896" s="1175"/>
      <c r="P896" s="1175"/>
      <c r="Q896" s="1175"/>
      <c r="R896" s="1175"/>
      <c r="S896" s="1175"/>
      <c r="T896" s="1175"/>
      <c r="U896" s="1175"/>
      <c r="V896" s="1175"/>
      <c r="W896" s="1175"/>
      <c r="X896" s="1175"/>
      <c r="Y896" s="1175"/>
      <c r="Z896" s="1176"/>
      <c r="AA896" s="1176"/>
      <c r="AB896" s="1176"/>
    </row>
    <row r="897" spans="2:28">
      <c r="B897" s="1175">
        <v>750713406</v>
      </c>
      <c r="C897" s="1175" t="s">
        <v>2113</v>
      </c>
      <c r="D897" s="1359" t="s">
        <v>2155</v>
      </c>
      <c r="E897" s="1357"/>
      <c r="F897" s="1175">
        <v>850009580</v>
      </c>
      <c r="G897" s="1175" t="s">
        <v>2114</v>
      </c>
      <c r="H897" s="1175" t="s">
        <v>2154</v>
      </c>
      <c r="I897" s="1358"/>
      <c r="O897" s="1175"/>
      <c r="P897" s="1175"/>
      <c r="Q897" s="1175"/>
      <c r="R897" s="1175"/>
      <c r="S897" s="1175"/>
      <c r="T897" s="1175"/>
      <c r="U897" s="1175"/>
      <c r="V897" s="1175"/>
      <c r="W897" s="1175"/>
      <c r="X897" s="1175"/>
      <c r="Y897" s="1175"/>
      <c r="Z897" s="1176"/>
      <c r="AA897" s="1176"/>
      <c r="AB897" s="1176"/>
    </row>
    <row r="898" spans="2:28">
      <c r="B898" s="1175">
        <v>850007048</v>
      </c>
      <c r="C898" s="1175" t="s">
        <v>2115</v>
      </c>
      <c r="D898" s="1175" t="s">
        <v>2148</v>
      </c>
      <c r="E898" s="1357"/>
      <c r="F898" s="1175">
        <v>850020918</v>
      </c>
      <c r="G898" s="1175" t="s">
        <v>2116</v>
      </c>
      <c r="H898" s="1178" t="s">
        <v>2167</v>
      </c>
      <c r="I898" s="1358"/>
      <c r="O898" s="1175"/>
      <c r="P898" s="1175"/>
      <c r="Q898" s="1175"/>
      <c r="R898" s="1175"/>
      <c r="S898" s="1175"/>
      <c r="T898" s="1175"/>
      <c r="U898" s="1175"/>
      <c r="V898" s="1175"/>
      <c r="W898" s="1175"/>
      <c r="X898" s="1175"/>
      <c r="Y898" s="1175"/>
      <c r="Z898" s="1176"/>
      <c r="AA898" s="1176"/>
      <c r="AB898" s="1176"/>
    </row>
    <row r="899" spans="2:28">
      <c r="B899" s="1175">
        <v>750054157</v>
      </c>
      <c r="C899" s="1175" t="s">
        <v>2103</v>
      </c>
      <c r="D899" s="1175" t="s">
        <v>2149</v>
      </c>
      <c r="E899" s="1357"/>
      <c r="F899" s="1175">
        <v>440046084</v>
      </c>
      <c r="G899" s="1175" t="s">
        <v>2117</v>
      </c>
      <c r="H899" s="1178" t="s">
        <v>2168</v>
      </c>
      <c r="I899" s="1358"/>
      <c r="O899" s="1175"/>
      <c r="P899" s="1175"/>
      <c r="Q899" s="1175"/>
      <c r="R899" s="1175"/>
      <c r="S899" s="1175"/>
      <c r="T899" s="1175"/>
      <c r="U899" s="1175"/>
      <c r="V899" s="1175"/>
      <c r="W899" s="1175"/>
      <c r="X899" s="1175"/>
      <c r="Y899" s="1175"/>
      <c r="Z899" s="1176"/>
      <c r="AA899" s="1176"/>
      <c r="AB899" s="1176"/>
    </row>
    <row r="900" spans="2:28">
      <c r="B900" s="1175">
        <v>750054157</v>
      </c>
      <c r="C900" s="1175" t="s">
        <v>2103</v>
      </c>
      <c r="D900" s="1175" t="s">
        <v>2150</v>
      </c>
      <c r="E900" s="1357"/>
      <c r="F900" s="1175">
        <v>440046076</v>
      </c>
      <c r="G900" s="1175" t="s">
        <v>2118</v>
      </c>
      <c r="H900" s="1178" t="s">
        <v>2161</v>
      </c>
      <c r="I900" s="1358"/>
      <c r="O900" s="1175"/>
      <c r="P900" s="1175"/>
      <c r="Q900" s="1175"/>
      <c r="R900" s="1175"/>
      <c r="S900" s="1175"/>
      <c r="T900" s="1175"/>
      <c r="U900" s="1175"/>
      <c r="V900" s="1175"/>
      <c r="W900" s="1175"/>
      <c r="X900" s="1175"/>
      <c r="Y900" s="1175"/>
      <c r="Z900" s="1176"/>
      <c r="AA900" s="1176"/>
      <c r="AB900" s="1176"/>
    </row>
    <row r="901" spans="2:28">
      <c r="B901" s="1175">
        <v>490016813</v>
      </c>
      <c r="C901" s="1175" t="s">
        <v>2106</v>
      </c>
      <c r="D901" s="1175" t="s">
        <v>2143</v>
      </c>
      <c r="E901" s="1357"/>
      <c r="F901" s="1175">
        <v>490015799</v>
      </c>
      <c r="G901" s="1175" t="s">
        <v>2119</v>
      </c>
      <c r="H901" s="1178" t="s">
        <v>2169</v>
      </c>
      <c r="I901" s="1358"/>
      <c r="O901" s="1175"/>
      <c r="P901" s="1175"/>
      <c r="Q901" s="1175"/>
      <c r="R901" s="1175"/>
      <c r="S901" s="1175"/>
      <c r="T901" s="1175"/>
      <c r="U901" s="1175"/>
      <c r="V901" s="1175"/>
      <c r="W901" s="1175"/>
      <c r="X901" s="1175"/>
      <c r="Y901" s="1175"/>
      <c r="Z901" s="1176"/>
      <c r="AA901" s="1176"/>
      <c r="AB901" s="1176"/>
    </row>
    <row r="902" spans="2:28">
      <c r="B902" s="1175">
        <v>930013768</v>
      </c>
      <c r="C902" s="1175" t="s">
        <v>2120</v>
      </c>
      <c r="D902" s="1175" t="s">
        <v>2141</v>
      </c>
      <c r="E902" s="1357"/>
      <c r="F902" s="1175">
        <v>530007483</v>
      </c>
      <c r="G902" s="1175" t="s">
        <v>2121</v>
      </c>
      <c r="H902" s="1178" t="s">
        <v>2170</v>
      </c>
      <c r="I902" s="1358"/>
      <c r="O902" s="1175"/>
      <c r="P902" s="1175"/>
      <c r="Q902" s="1175"/>
      <c r="R902" s="1175"/>
      <c r="S902" s="1175"/>
      <c r="T902" s="1175"/>
      <c r="U902" s="1175"/>
      <c r="V902" s="1175"/>
      <c r="W902" s="1175"/>
      <c r="X902" s="1175"/>
      <c r="Y902" s="1175"/>
      <c r="Z902" s="1176"/>
      <c r="AA902" s="1176"/>
      <c r="AB902" s="1176"/>
    </row>
    <row r="903" spans="2:28">
      <c r="B903" s="1175">
        <v>720008705</v>
      </c>
      <c r="C903" s="1175" t="s">
        <v>2112</v>
      </c>
      <c r="D903" s="1175" t="s">
        <v>2151</v>
      </c>
      <c r="E903" s="1357"/>
      <c r="F903" s="1175">
        <v>720017714</v>
      </c>
      <c r="G903" s="1175" t="s">
        <v>2122</v>
      </c>
      <c r="H903" s="1178" t="s">
        <v>2171</v>
      </c>
      <c r="I903" s="1358"/>
      <c r="O903" s="1175"/>
      <c r="P903" s="1175"/>
      <c r="Q903" s="1175"/>
      <c r="R903" s="1175"/>
      <c r="S903" s="1175"/>
      <c r="T903" s="1175"/>
      <c r="U903" s="1175"/>
      <c r="V903" s="1175"/>
      <c r="W903" s="1175"/>
      <c r="X903" s="1175"/>
      <c r="Y903" s="1175"/>
      <c r="Z903" s="1176"/>
      <c r="AA903" s="1176"/>
      <c r="AB903" s="1176"/>
    </row>
    <row r="904" spans="2:28">
      <c r="B904" s="1175">
        <v>930013768</v>
      </c>
      <c r="C904" s="1175" t="s">
        <v>2120</v>
      </c>
      <c r="D904" s="1175" t="s">
        <v>2141</v>
      </c>
      <c r="E904" s="1357"/>
      <c r="F904" s="1175">
        <v>850010869</v>
      </c>
      <c r="G904" s="1175" t="s">
        <v>2123</v>
      </c>
      <c r="H904" s="1178" t="s">
        <v>2172</v>
      </c>
      <c r="I904" s="1358"/>
      <c r="O904" s="1175"/>
      <c r="P904" s="1175"/>
      <c r="Q904" s="1175"/>
      <c r="R904" s="1175"/>
      <c r="S904" s="1175"/>
      <c r="T904" s="1175"/>
      <c r="U904" s="1175"/>
      <c r="V904" s="1175"/>
      <c r="W904" s="1175"/>
      <c r="X904" s="1175"/>
      <c r="Y904" s="1175"/>
      <c r="Z904" s="1176"/>
      <c r="AA904" s="1176"/>
      <c r="AB904" s="1176"/>
    </row>
    <row r="905" spans="2:28">
      <c r="B905" s="1175">
        <v>750719361</v>
      </c>
      <c r="C905" s="1175" t="s">
        <v>2124</v>
      </c>
      <c r="D905" s="1175" t="s">
        <v>2156</v>
      </c>
      <c r="E905" s="1357"/>
      <c r="F905" s="1175">
        <v>440046167</v>
      </c>
      <c r="G905" s="1175" t="s">
        <v>2125</v>
      </c>
      <c r="H905" s="1178" t="s">
        <v>2173</v>
      </c>
      <c r="I905" s="1358"/>
      <c r="O905" s="1175"/>
      <c r="P905" s="1175"/>
      <c r="Q905" s="1175"/>
      <c r="R905" s="1175"/>
      <c r="S905" s="1175"/>
      <c r="T905" s="1175"/>
      <c r="U905" s="1175"/>
      <c r="V905" s="1175"/>
      <c r="W905" s="1175"/>
      <c r="X905" s="1175"/>
      <c r="Y905" s="1175"/>
      <c r="Z905" s="1176"/>
      <c r="AA905" s="1176"/>
      <c r="AB905" s="1176"/>
    </row>
    <row r="906" spans="2:28">
      <c r="B906" s="1175">
        <v>720008705</v>
      </c>
      <c r="C906" s="1175" t="s">
        <v>2112</v>
      </c>
      <c r="D906" s="1175" t="s">
        <v>2151</v>
      </c>
      <c r="E906" s="1357"/>
      <c r="F906" s="1175">
        <v>440029049</v>
      </c>
      <c r="G906" s="1175" t="s">
        <v>2126</v>
      </c>
      <c r="H906" s="1178" t="s">
        <v>2174</v>
      </c>
      <c r="I906" s="1358"/>
      <c r="O906" s="1175"/>
      <c r="P906" s="1175"/>
      <c r="Q906" s="1175"/>
      <c r="R906" s="1175"/>
      <c r="S906" s="1175"/>
      <c r="T906" s="1175"/>
      <c r="U906" s="1175"/>
      <c r="V906" s="1175"/>
      <c r="W906" s="1175"/>
      <c r="X906" s="1175"/>
      <c r="Y906" s="1175"/>
      <c r="Z906" s="1176"/>
      <c r="AA906" s="1176"/>
      <c r="AB906" s="1176"/>
    </row>
    <row r="907" spans="2:28">
      <c r="B907" s="1175">
        <v>720008705</v>
      </c>
      <c r="C907" s="1175" t="s">
        <v>2112</v>
      </c>
      <c r="D907" s="1175" t="s">
        <v>2151</v>
      </c>
      <c r="E907" s="1357"/>
      <c r="F907" s="1175">
        <v>490019718</v>
      </c>
      <c r="G907" s="1175" t="s">
        <v>2127</v>
      </c>
      <c r="H907" s="1178"/>
      <c r="I907" s="1358"/>
      <c r="O907" s="1175"/>
      <c r="P907" s="1175"/>
      <c r="Q907" s="1175"/>
      <c r="R907" s="1175"/>
      <c r="S907" s="1175"/>
      <c r="T907" s="1175"/>
      <c r="U907" s="1175"/>
      <c r="V907" s="1175"/>
      <c r="W907" s="1175"/>
      <c r="X907" s="1175"/>
      <c r="Y907" s="1175"/>
      <c r="Z907" s="1176"/>
      <c r="AA907" s="1176"/>
      <c r="AB907" s="1176"/>
    </row>
    <row r="908" spans="2:28">
      <c r="B908" s="1175">
        <v>530000819</v>
      </c>
      <c r="C908" s="1175" t="s">
        <v>2128</v>
      </c>
      <c r="D908" s="1175" t="s">
        <v>2157</v>
      </c>
      <c r="E908" s="1357"/>
      <c r="F908" s="1175">
        <v>530008887</v>
      </c>
      <c r="G908" s="1175" t="s">
        <v>2129</v>
      </c>
      <c r="H908" s="1178"/>
      <c r="I908" s="1358"/>
      <c r="O908" s="1175"/>
      <c r="P908" s="1175"/>
      <c r="Q908" s="1175"/>
      <c r="R908" s="1175"/>
      <c r="S908" s="1175"/>
      <c r="T908" s="1175"/>
      <c r="U908" s="1175"/>
      <c r="V908" s="1175"/>
      <c r="W908" s="1175"/>
      <c r="X908" s="1175"/>
      <c r="Y908" s="1175"/>
      <c r="Z908" s="1176"/>
      <c r="AA908" s="1176"/>
      <c r="AB908" s="1176"/>
    </row>
    <row r="909" spans="2:28">
      <c r="B909" s="1175">
        <v>720008705</v>
      </c>
      <c r="C909" s="1175" t="s">
        <v>2112</v>
      </c>
      <c r="D909" s="1175" t="s">
        <v>2151</v>
      </c>
      <c r="E909" s="1357"/>
      <c r="F909" s="1175">
        <v>720018621</v>
      </c>
      <c r="G909" s="1175" t="s">
        <v>2130</v>
      </c>
      <c r="H909" s="1178"/>
      <c r="I909" s="1358"/>
      <c r="O909" s="1175"/>
      <c r="P909" s="1175"/>
      <c r="Q909" s="1175"/>
      <c r="R909" s="1175"/>
      <c r="S909" s="1175"/>
      <c r="T909" s="1175"/>
      <c r="U909" s="1175"/>
      <c r="V909" s="1175"/>
      <c r="W909" s="1175"/>
      <c r="X909" s="1175"/>
      <c r="Y909" s="1175"/>
      <c r="Z909" s="1176"/>
      <c r="AA909" s="1176"/>
      <c r="AB909" s="1176"/>
    </row>
    <row r="910" spans="2:28">
      <c r="B910" s="1175">
        <v>850013236</v>
      </c>
      <c r="C910" s="1175" t="s">
        <v>2131</v>
      </c>
      <c r="D910" s="1175" t="s">
        <v>2152</v>
      </c>
      <c r="E910" s="1357"/>
      <c r="F910" s="1175">
        <v>850025784</v>
      </c>
      <c r="G910" s="1175" t="s">
        <v>2132</v>
      </c>
      <c r="H910" s="1178"/>
      <c r="I910" s="1358"/>
      <c r="O910" s="1175"/>
      <c r="P910" s="1175"/>
      <c r="Q910" s="1175"/>
      <c r="R910" s="1175"/>
      <c r="S910" s="1175"/>
      <c r="T910" s="1175"/>
      <c r="U910" s="1175"/>
      <c r="V910" s="1175"/>
      <c r="W910" s="1175"/>
      <c r="X910" s="1175"/>
      <c r="Y910" s="1175"/>
      <c r="Z910" s="1176"/>
      <c r="AA910" s="1176"/>
      <c r="AB910" s="1176"/>
    </row>
    <row r="911" spans="2:28">
      <c r="B911" s="1175">
        <v>440026482</v>
      </c>
      <c r="C911" s="1175" t="s">
        <v>2133</v>
      </c>
      <c r="D911" s="1175" t="s">
        <v>2158</v>
      </c>
      <c r="E911" s="1357"/>
      <c r="F911" s="1175">
        <v>440046704</v>
      </c>
      <c r="G911" s="1175" t="s">
        <v>2134</v>
      </c>
      <c r="H911" s="1175" t="s">
        <v>2158</v>
      </c>
      <c r="I911" s="1358"/>
      <c r="O911" s="1175"/>
      <c r="P911" s="1175"/>
      <c r="Q911" s="1175"/>
      <c r="R911" s="1175"/>
      <c r="S911" s="1175"/>
      <c r="T911" s="1175"/>
      <c r="U911" s="1175"/>
      <c r="V911" s="1175"/>
      <c r="W911" s="1175"/>
      <c r="X911" s="1175"/>
      <c r="Y911" s="1175"/>
      <c r="Z911" s="1176"/>
      <c r="AA911" s="1176"/>
      <c r="AB911" s="1176"/>
    </row>
    <row r="912" spans="2:28">
      <c r="B912" s="1175">
        <v>440018422</v>
      </c>
      <c r="C912" s="1175" t="s">
        <v>2135</v>
      </c>
      <c r="D912" s="1175" t="s">
        <v>2144</v>
      </c>
      <c r="E912" s="1357"/>
      <c r="F912" s="1175">
        <v>440053163</v>
      </c>
      <c r="G912" s="1175" t="s">
        <v>2136</v>
      </c>
      <c r="H912" s="1178" t="s">
        <v>2176</v>
      </c>
      <c r="I912" s="1358"/>
      <c r="O912" s="1175"/>
      <c r="P912" s="1175"/>
      <c r="Q912" s="1175"/>
      <c r="R912" s="1175"/>
      <c r="S912" s="1175"/>
      <c r="T912" s="1175"/>
      <c r="U912" s="1175"/>
      <c r="V912" s="1175"/>
      <c r="W912" s="1175"/>
      <c r="X912" s="1175"/>
      <c r="Y912" s="1175"/>
      <c r="Z912" s="1176"/>
      <c r="AA912" s="1176"/>
      <c r="AB912" s="1176"/>
    </row>
    <row r="913" spans="2:29">
      <c r="B913" s="1175">
        <v>720019207</v>
      </c>
      <c r="C913" s="1175" t="s">
        <v>2137</v>
      </c>
      <c r="D913" s="1175" t="s">
        <v>2153</v>
      </c>
      <c r="E913" s="1357"/>
      <c r="F913" s="1175">
        <v>720017847</v>
      </c>
      <c r="G913" s="1175" t="s">
        <v>2138</v>
      </c>
      <c r="H913" s="1178" t="s">
        <v>2175</v>
      </c>
      <c r="I913" s="1358"/>
      <c r="O913" s="1175"/>
      <c r="P913" s="1175"/>
      <c r="Q913" s="1175"/>
      <c r="R913" s="1175"/>
      <c r="S913" s="1175"/>
      <c r="T913" s="1175"/>
      <c r="U913" s="1175"/>
      <c r="V913" s="1175"/>
      <c r="W913" s="1175"/>
      <c r="X913" s="1175"/>
      <c r="Y913" s="1175"/>
      <c r="Z913" s="1176"/>
      <c r="AA913" s="1176"/>
      <c r="AB913" s="1176"/>
    </row>
    <row r="914" spans="2:29">
      <c r="B914" s="1175">
        <v>850013236</v>
      </c>
      <c r="C914" s="1175" t="s">
        <v>2131</v>
      </c>
      <c r="D914" s="1175" t="s">
        <v>2152</v>
      </c>
      <c r="E914" s="1357"/>
      <c r="F914" s="1175">
        <v>850018292</v>
      </c>
      <c r="G914" s="1175" t="s">
        <v>2139</v>
      </c>
      <c r="H914" s="1175" t="s">
        <v>2152</v>
      </c>
      <c r="I914" s="1358"/>
      <c r="O914" s="1175"/>
      <c r="P914" s="1175"/>
      <c r="Q914" s="1175"/>
      <c r="R914" s="1175"/>
      <c r="S914" s="1175"/>
      <c r="T914" s="1175"/>
      <c r="U914" s="1175"/>
      <c r="V914" s="1175"/>
      <c r="W914" s="1175"/>
      <c r="X914" s="1175"/>
      <c r="Y914" s="1175"/>
      <c r="Z914" s="1176"/>
      <c r="AA914" s="1176"/>
      <c r="AB914" s="1176"/>
    </row>
    <row r="915" spans="2:29">
      <c r="B915" s="1175">
        <v>440026482</v>
      </c>
      <c r="C915" s="1175" t="s">
        <v>2133</v>
      </c>
      <c r="D915" s="1175" t="s">
        <v>2158</v>
      </c>
      <c r="E915" s="1357"/>
      <c r="F915" s="1175">
        <v>440054062</v>
      </c>
      <c r="G915" s="1175" t="s">
        <v>2140</v>
      </c>
      <c r="H915" s="1175" t="s">
        <v>2158</v>
      </c>
      <c r="I915" s="1358"/>
      <c r="O915" s="1175"/>
      <c r="P915" s="1175"/>
      <c r="Q915" s="1175"/>
      <c r="R915" s="1175"/>
      <c r="S915" s="1175"/>
      <c r="T915" s="1175"/>
      <c r="U915" s="1175"/>
      <c r="V915" s="1175"/>
      <c r="W915" s="1175"/>
      <c r="X915" s="1175"/>
      <c r="Y915" s="1175"/>
      <c r="Z915" s="1176"/>
      <c r="AA915" s="1176"/>
      <c r="AB915" s="1175"/>
    </row>
    <row r="916" spans="2:29">
      <c r="P916" s="1175"/>
      <c r="Q916" s="1175"/>
      <c r="R916" s="1175"/>
      <c r="S916" s="1175"/>
      <c r="T916" s="1175"/>
      <c r="U916" s="1175"/>
      <c r="V916" s="1175"/>
      <c r="W916" s="1175"/>
      <c r="X916" s="1175"/>
      <c r="Y916" s="1175"/>
      <c r="Z916" s="1175"/>
      <c r="AA916" s="1176"/>
      <c r="AB916" s="1176"/>
      <c r="AC916" s="1176"/>
    </row>
    <row r="917" spans="2:29">
      <c r="P917" s="1175"/>
      <c r="Q917" s="1175"/>
      <c r="R917" s="1175"/>
      <c r="S917" s="1175"/>
      <c r="T917" s="1175"/>
      <c r="U917" s="1175"/>
      <c r="V917" s="1175"/>
      <c r="W917" s="1175"/>
      <c r="X917" s="1175"/>
      <c r="Y917" s="1175"/>
      <c r="Z917" s="1175"/>
      <c r="AA917" s="1176"/>
      <c r="AB917" s="1176"/>
      <c r="AC917" s="1176"/>
    </row>
    <row r="918" spans="2:29">
      <c r="P918" s="1175"/>
      <c r="Q918" s="1175"/>
      <c r="R918" s="1175"/>
      <c r="S918" s="1175"/>
      <c r="T918" s="1175"/>
      <c r="U918" s="1175"/>
      <c r="V918" s="1175"/>
      <c r="W918" s="1175"/>
      <c r="X918" s="1175"/>
      <c r="Y918" s="1175"/>
      <c r="Z918" s="1175"/>
      <c r="AA918" s="1176"/>
      <c r="AB918" s="1176"/>
      <c r="AC918" s="1176"/>
    </row>
    <row r="919" spans="2:29">
      <c r="P919" s="1175"/>
      <c r="Q919" s="1175"/>
      <c r="R919" s="1175"/>
      <c r="S919" s="1175"/>
      <c r="T919" s="1175"/>
      <c r="U919" s="1175"/>
      <c r="V919" s="1175"/>
      <c r="W919" s="1175"/>
      <c r="X919" s="1175"/>
      <c r="Y919" s="1175"/>
      <c r="Z919" s="1175"/>
      <c r="AA919" s="1176"/>
      <c r="AB919" s="1176"/>
      <c r="AC919" s="1176"/>
    </row>
    <row r="920" spans="2:29">
      <c r="P920" s="1175"/>
      <c r="Q920" s="1175"/>
      <c r="R920" s="1175"/>
      <c r="S920" s="1175"/>
      <c r="T920" s="1175"/>
      <c r="U920" s="1175"/>
      <c r="V920" s="1175"/>
      <c r="W920" s="1175"/>
      <c r="X920" s="1175"/>
      <c r="Y920" s="1175"/>
      <c r="Z920" s="1175"/>
      <c r="AA920" s="1176"/>
      <c r="AB920" s="1176"/>
      <c r="AC920" s="1176"/>
    </row>
    <row r="921" spans="2:29">
      <c r="P921" s="1175"/>
      <c r="Q921" s="1175"/>
      <c r="R921" s="1175"/>
      <c r="S921" s="1175"/>
      <c r="T921" s="1175"/>
      <c r="U921" s="1175"/>
      <c r="V921" s="1175"/>
      <c r="W921" s="1175"/>
      <c r="X921" s="1175"/>
      <c r="Y921" s="1175"/>
      <c r="Z921" s="1175"/>
      <c r="AA921" s="1176"/>
      <c r="AB921" s="1176"/>
      <c r="AC921" s="1176"/>
    </row>
    <row r="922" spans="2:29">
      <c r="P922" s="1175"/>
      <c r="Q922" s="1175"/>
      <c r="R922" s="1175"/>
      <c r="S922" s="1175"/>
      <c r="T922" s="1175"/>
      <c r="U922" s="1175"/>
      <c r="V922" s="1175"/>
      <c r="W922" s="1175"/>
      <c r="X922" s="1175"/>
      <c r="Y922" s="1175"/>
      <c r="Z922" s="1175"/>
      <c r="AA922" s="1176"/>
      <c r="AB922" s="1176"/>
      <c r="AC922" s="1176"/>
    </row>
    <row r="923" spans="2:29">
      <c r="P923" s="1175"/>
      <c r="Q923" s="1175"/>
      <c r="R923" s="1175"/>
      <c r="S923" s="1175"/>
      <c r="T923" s="1175"/>
      <c r="U923" s="1175"/>
      <c r="V923" s="1175"/>
      <c r="W923" s="1175"/>
      <c r="X923" s="1175"/>
      <c r="Y923" s="1175"/>
      <c r="Z923" s="1175"/>
      <c r="AA923" s="1176"/>
      <c r="AB923" s="1176"/>
      <c r="AC923" s="1176"/>
    </row>
    <row r="924" spans="2:29">
      <c r="P924" s="1175"/>
      <c r="Q924" s="1175"/>
      <c r="R924" s="1175"/>
      <c r="S924" s="1175"/>
      <c r="T924" s="1175"/>
      <c r="U924" s="1175"/>
      <c r="V924" s="1175"/>
      <c r="W924" s="1175"/>
      <c r="X924" s="1175"/>
      <c r="Y924" s="1175"/>
      <c r="Z924" s="1175"/>
      <c r="AA924" s="1176"/>
      <c r="AB924" s="1176"/>
      <c r="AC924" s="1176"/>
    </row>
    <row r="925" spans="2:29">
      <c r="P925" s="1175"/>
      <c r="Q925" s="1175"/>
      <c r="R925" s="1175"/>
      <c r="S925" s="1175"/>
      <c r="T925" s="1175"/>
      <c r="U925" s="1175"/>
      <c r="V925" s="1175"/>
      <c r="W925" s="1175"/>
      <c r="X925" s="1175"/>
      <c r="Y925" s="1175"/>
      <c r="Z925" s="1175"/>
      <c r="AA925" s="1176"/>
      <c r="AB925" s="1176"/>
      <c r="AC925" s="1176"/>
    </row>
    <row r="926" spans="2:29">
      <c r="P926" s="1175"/>
      <c r="Q926" s="1175"/>
      <c r="R926" s="1175"/>
      <c r="S926" s="1175"/>
      <c r="T926" s="1175"/>
      <c r="U926" s="1175"/>
      <c r="V926" s="1175"/>
      <c r="W926" s="1175"/>
      <c r="X926" s="1175"/>
      <c r="Y926" s="1175"/>
      <c r="Z926" s="1175"/>
      <c r="AA926" s="1176"/>
      <c r="AB926" s="1176"/>
      <c r="AC926" s="1176"/>
    </row>
    <row r="927" spans="2:29">
      <c r="P927" s="1175"/>
      <c r="Q927" s="1175"/>
      <c r="R927" s="1175"/>
      <c r="S927" s="1175"/>
      <c r="T927" s="1175"/>
      <c r="U927" s="1175"/>
      <c r="V927" s="1175"/>
      <c r="W927" s="1175"/>
      <c r="X927" s="1175"/>
      <c r="Y927" s="1175"/>
      <c r="Z927" s="1175"/>
      <c r="AA927" s="1176"/>
      <c r="AB927" s="1176"/>
      <c r="AC927" s="1176"/>
    </row>
    <row r="928" spans="2:29">
      <c r="P928" s="1175"/>
      <c r="Q928" s="1175"/>
      <c r="R928" s="1175"/>
      <c r="S928" s="1175"/>
      <c r="T928" s="1175"/>
      <c r="U928" s="1175"/>
      <c r="V928" s="1175"/>
      <c r="W928" s="1175"/>
      <c r="X928" s="1175"/>
      <c r="Y928" s="1175"/>
      <c r="Z928" s="1175"/>
      <c r="AA928" s="1176"/>
      <c r="AB928" s="1176"/>
      <c r="AC928" s="1176"/>
    </row>
    <row r="929" spans="16:29">
      <c r="P929" s="1175"/>
      <c r="Q929" s="1175"/>
      <c r="R929" s="1175"/>
      <c r="S929" s="1175"/>
      <c r="T929" s="1175"/>
      <c r="U929" s="1175"/>
      <c r="V929" s="1175"/>
      <c r="W929" s="1175"/>
      <c r="X929" s="1175"/>
      <c r="Y929" s="1175"/>
      <c r="Z929" s="1175"/>
      <c r="AA929" s="1176"/>
      <c r="AB929" s="1176"/>
      <c r="AC929" s="1176"/>
    </row>
    <row r="930" spans="16:29">
      <c r="P930" s="1175"/>
      <c r="Q930" s="1175"/>
      <c r="R930" s="1175"/>
      <c r="S930" s="1175"/>
      <c r="T930" s="1175"/>
      <c r="U930" s="1175"/>
      <c r="V930" s="1175"/>
      <c r="W930" s="1175"/>
      <c r="X930" s="1175"/>
      <c r="Y930" s="1175"/>
      <c r="Z930" s="1175"/>
      <c r="AA930" s="1176"/>
      <c r="AB930" s="1176"/>
      <c r="AC930" s="1176"/>
    </row>
    <row r="931" spans="16:29">
      <c r="P931" s="1175"/>
      <c r="Q931" s="1175"/>
      <c r="R931" s="1175"/>
      <c r="S931" s="1175"/>
      <c r="T931" s="1175"/>
      <c r="U931" s="1175"/>
      <c r="V931" s="1175"/>
      <c r="W931" s="1175"/>
      <c r="X931" s="1175"/>
      <c r="Y931" s="1175"/>
      <c r="Z931" s="1175"/>
      <c r="AA931" s="1176"/>
      <c r="AB931" s="1176"/>
      <c r="AC931" s="1176"/>
    </row>
    <row r="932" spans="16:29">
      <c r="P932" s="1175"/>
      <c r="Q932" s="1175"/>
      <c r="R932" s="1175"/>
      <c r="S932" s="1175"/>
      <c r="T932" s="1175"/>
      <c r="U932" s="1175"/>
      <c r="V932" s="1175"/>
      <c r="W932" s="1175"/>
      <c r="X932" s="1175"/>
      <c r="Y932" s="1175"/>
      <c r="Z932" s="1175"/>
      <c r="AA932" s="1176"/>
      <c r="AB932" s="1176"/>
      <c r="AC932" s="1176"/>
    </row>
    <row r="933" spans="16:29">
      <c r="P933" s="1175"/>
      <c r="Q933" s="1175"/>
      <c r="R933" s="1175"/>
      <c r="S933" s="1175"/>
      <c r="T933" s="1175"/>
      <c r="U933" s="1175"/>
      <c r="V933" s="1175"/>
      <c r="W933" s="1175"/>
      <c r="X933" s="1175"/>
      <c r="Y933" s="1175"/>
      <c r="Z933" s="1175"/>
      <c r="AA933" s="1176"/>
      <c r="AB933" s="1176"/>
      <c r="AC933" s="1176"/>
    </row>
    <row r="934" spans="16:29">
      <c r="P934" s="1175"/>
      <c r="Q934" s="1175"/>
      <c r="R934" s="1175"/>
      <c r="S934" s="1175"/>
      <c r="T934" s="1175"/>
      <c r="U934" s="1175"/>
      <c r="V934" s="1175"/>
      <c r="W934" s="1175"/>
      <c r="X934" s="1175"/>
      <c r="Y934" s="1175"/>
      <c r="Z934" s="1175"/>
      <c r="AA934" s="1176"/>
      <c r="AB934" s="1176"/>
      <c r="AC934" s="1176"/>
    </row>
    <row r="935" spans="16:29">
      <c r="P935" s="1175"/>
      <c r="Q935" s="1175"/>
      <c r="R935" s="1175"/>
      <c r="S935" s="1175"/>
      <c r="T935" s="1175"/>
      <c r="U935" s="1175"/>
      <c r="V935" s="1175"/>
      <c r="W935" s="1175"/>
      <c r="X935" s="1175"/>
      <c r="Y935" s="1175"/>
      <c r="Z935" s="1175"/>
      <c r="AA935" s="1176"/>
      <c r="AB935" s="1176"/>
      <c r="AC935" s="1176"/>
    </row>
    <row r="936" spans="16:29">
      <c r="P936" s="1175"/>
      <c r="Q936" s="1175"/>
      <c r="R936" s="1175"/>
      <c r="S936" s="1175"/>
      <c r="T936" s="1175"/>
      <c r="U936" s="1175"/>
      <c r="V936" s="1175"/>
      <c r="W936" s="1175"/>
      <c r="X936" s="1175"/>
      <c r="Y936" s="1175"/>
      <c r="Z936" s="1175"/>
      <c r="AA936" s="1176"/>
      <c r="AB936" s="1176"/>
      <c r="AC936" s="1176"/>
    </row>
    <row r="937" spans="16:29">
      <c r="P937" s="1175"/>
      <c r="Q937" s="1175"/>
      <c r="R937" s="1175"/>
      <c r="S937" s="1175"/>
      <c r="T937" s="1175"/>
      <c r="U937" s="1175"/>
      <c r="V937" s="1175"/>
      <c r="W937" s="1175"/>
      <c r="X937" s="1175"/>
      <c r="Y937" s="1175"/>
      <c r="Z937" s="1175"/>
      <c r="AA937" s="1176"/>
      <c r="AB937" s="1176"/>
      <c r="AC937" s="1176"/>
    </row>
    <row r="938" spans="16:29">
      <c r="P938" s="1175"/>
      <c r="Q938" s="1175"/>
      <c r="R938" s="1175"/>
      <c r="S938" s="1175"/>
      <c r="T938" s="1175"/>
      <c r="U938" s="1175"/>
      <c r="V938" s="1175"/>
      <c r="W938" s="1175"/>
      <c r="X938" s="1175"/>
      <c r="Y938" s="1175"/>
      <c r="Z938" s="1175"/>
      <c r="AA938" s="1176"/>
      <c r="AB938" s="1176"/>
      <c r="AC938" s="1176"/>
    </row>
    <row r="939" spans="16:29">
      <c r="P939" s="1175"/>
      <c r="Q939" s="1175"/>
      <c r="R939" s="1175"/>
      <c r="S939" s="1175"/>
      <c r="T939" s="1175"/>
      <c r="U939" s="1175"/>
      <c r="V939" s="1175"/>
      <c r="W939" s="1175"/>
      <c r="X939" s="1175"/>
      <c r="Y939" s="1175"/>
      <c r="Z939" s="1175"/>
      <c r="AA939" s="1176"/>
      <c r="AB939" s="1176"/>
      <c r="AC939" s="1176"/>
    </row>
    <row r="940" spans="16:29">
      <c r="P940" s="1175"/>
      <c r="Q940" s="1175"/>
      <c r="R940" s="1175"/>
      <c r="S940" s="1175"/>
      <c r="T940" s="1175"/>
      <c r="U940" s="1175"/>
      <c r="V940" s="1175"/>
      <c r="W940" s="1175"/>
      <c r="X940" s="1175"/>
      <c r="Y940" s="1175"/>
      <c r="Z940" s="1175"/>
      <c r="AA940" s="1176"/>
      <c r="AB940" s="1176"/>
      <c r="AC940" s="1176"/>
    </row>
    <row r="941" spans="16:29">
      <c r="P941" s="1175"/>
      <c r="Q941" s="1175"/>
      <c r="R941" s="1175"/>
      <c r="S941" s="1175"/>
      <c r="T941" s="1175"/>
      <c r="U941" s="1175"/>
      <c r="V941" s="1175"/>
      <c r="W941" s="1175"/>
      <c r="X941" s="1175"/>
      <c r="Y941" s="1175"/>
      <c r="Z941" s="1175"/>
      <c r="AA941" s="1176"/>
      <c r="AB941" s="1176"/>
      <c r="AC941" s="1176"/>
    </row>
    <row r="942" spans="16:29">
      <c r="P942" s="1175"/>
      <c r="Q942" s="1175"/>
      <c r="R942" s="1175"/>
      <c r="S942" s="1175"/>
      <c r="T942" s="1175"/>
      <c r="U942" s="1175"/>
      <c r="V942" s="1175"/>
      <c r="W942" s="1175"/>
      <c r="X942" s="1175"/>
      <c r="Y942" s="1175"/>
      <c r="Z942" s="1175"/>
      <c r="AA942" s="1176"/>
      <c r="AB942" s="1176"/>
      <c r="AC942" s="1176"/>
    </row>
    <row r="943" spans="16:29">
      <c r="P943" s="1175"/>
      <c r="Q943" s="1175"/>
      <c r="R943" s="1175"/>
      <c r="S943" s="1175"/>
      <c r="T943" s="1175"/>
      <c r="U943" s="1175"/>
      <c r="V943" s="1175"/>
      <c r="W943" s="1175"/>
      <c r="X943" s="1175"/>
      <c r="Y943" s="1175"/>
      <c r="Z943" s="1175"/>
      <c r="AA943" s="1176"/>
      <c r="AB943" s="1176"/>
      <c r="AC943" s="1176"/>
    </row>
    <row r="944" spans="16:29">
      <c r="P944" s="1175"/>
      <c r="Q944" s="1175"/>
      <c r="R944" s="1175"/>
      <c r="S944" s="1175"/>
      <c r="T944" s="1175"/>
      <c r="U944" s="1175"/>
      <c r="V944" s="1175"/>
      <c r="W944" s="1175"/>
      <c r="X944" s="1175"/>
      <c r="Y944" s="1175"/>
      <c r="Z944" s="1175"/>
      <c r="AA944" s="1176"/>
      <c r="AB944" s="1176"/>
      <c r="AC944" s="1176"/>
    </row>
    <row r="945" spans="16:29">
      <c r="P945" s="1175"/>
      <c r="Q945" s="1175"/>
      <c r="R945" s="1175"/>
      <c r="S945" s="1175"/>
      <c r="T945" s="1175"/>
      <c r="U945" s="1175"/>
      <c r="V945" s="1175"/>
      <c r="W945" s="1175"/>
      <c r="X945" s="1175"/>
      <c r="Y945" s="1175"/>
      <c r="Z945" s="1175"/>
      <c r="AA945" s="1176"/>
      <c r="AB945" s="1176"/>
      <c r="AC945" s="1176"/>
    </row>
    <row r="946" spans="16:29">
      <c r="P946" s="1175"/>
      <c r="Q946" s="1175"/>
      <c r="R946" s="1175"/>
      <c r="S946" s="1175"/>
      <c r="T946" s="1175"/>
      <c r="U946" s="1175"/>
      <c r="V946" s="1175"/>
      <c r="W946" s="1175"/>
      <c r="X946" s="1175"/>
      <c r="Y946" s="1175"/>
      <c r="Z946" s="1175"/>
      <c r="AA946" s="1176"/>
      <c r="AB946" s="1176"/>
      <c r="AC946" s="1176"/>
    </row>
    <row r="947" spans="16:29">
      <c r="P947" s="1175"/>
      <c r="Q947" s="1175"/>
      <c r="R947" s="1175"/>
      <c r="S947" s="1175"/>
      <c r="T947" s="1175"/>
      <c r="U947" s="1175"/>
      <c r="V947" s="1175"/>
      <c r="W947" s="1175"/>
      <c r="X947" s="1175"/>
      <c r="Y947" s="1175"/>
      <c r="Z947" s="1175"/>
      <c r="AA947" s="1176"/>
      <c r="AB947" s="1176"/>
      <c r="AC947" s="1176"/>
    </row>
    <row r="948" spans="16:29">
      <c r="P948" s="1175"/>
      <c r="Q948" s="1175"/>
      <c r="R948" s="1175"/>
      <c r="S948" s="1175"/>
      <c r="T948" s="1175"/>
      <c r="U948" s="1175"/>
      <c r="V948" s="1175"/>
      <c r="W948" s="1175"/>
      <c r="X948" s="1175"/>
      <c r="Y948" s="1175"/>
      <c r="Z948" s="1175"/>
      <c r="AA948" s="1176"/>
      <c r="AB948" s="1176"/>
      <c r="AC948" s="1176"/>
    </row>
    <row r="949" spans="16:29">
      <c r="P949" s="1175"/>
      <c r="Q949" s="1175"/>
      <c r="R949" s="1175"/>
      <c r="S949" s="1175"/>
      <c r="T949" s="1175"/>
      <c r="U949" s="1175"/>
      <c r="V949" s="1175"/>
      <c r="W949" s="1175"/>
      <c r="X949" s="1175"/>
      <c r="Y949" s="1175"/>
      <c r="Z949" s="1175"/>
      <c r="AA949" s="1176"/>
      <c r="AB949" s="1176"/>
      <c r="AC949" s="1176"/>
    </row>
    <row r="950" spans="16:29">
      <c r="P950" s="1175"/>
      <c r="Q950" s="1175"/>
      <c r="R950" s="1175"/>
      <c r="S950" s="1175"/>
      <c r="T950" s="1175"/>
      <c r="U950" s="1175"/>
      <c r="V950" s="1175"/>
      <c r="W950" s="1175"/>
      <c r="X950" s="1175"/>
      <c r="Y950" s="1175"/>
      <c r="Z950" s="1175"/>
      <c r="AA950" s="1176"/>
      <c r="AB950" s="1176"/>
      <c r="AC950" s="1176"/>
    </row>
    <row r="951" spans="16:29">
      <c r="P951" s="1175"/>
      <c r="Q951" s="1175"/>
      <c r="R951" s="1175"/>
      <c r="S951" s="1175"/>
      <c r="T951" s="1175"/>
      <c r="U951" s="1175"/>
      <c r="V951" s="1175"/>
      <c r="W951" s="1175"/>
      <c r="X951" s="1175"/>
      <c r="Y951" s="1175"/>
      <c r="Z951" s="1175"/>
      <c r="AA951" s="1176"/>
      <c r="AB951" s="1176"/>
      <c r="AC951" s="1176"/>
    </row>
    <row r="952" spans="16:29">
      <c r="P952" s="1175"/>
      <c r="Q952" s="1175"/>
      <c r="R952" s="1175"/>
      <c r="S952" s="1175"/>
      <c r="T952" s="1175"/>
      <c r="U952" s="1175"/>
      <c r="V952" s="1175"/>
      <c r="W952" s="1175"/>
      <c r="X952" s="1175"/>
      <c r="Y952" s="1175"/>
      <c r="Z952" s="1175"/>
      <c r="AA952" s="1176"/>
      <c r="AB952" s="1176"/>
      <c r="AC952" s="1176"/>
    </row>
    <row r="953" spans="16:29">
      <c r="P953" s="1175"/>
      <c r="Q953" s="1175"/>
      <c r="R953" s="1175"/>
      <c r="S953" s="1175"/>
      <c r="T953" s="1175"/>
      <c r="U953" s="1175"/>
      <c r="V953" s="1175"/>
      <c r="W953" s="1175"/>
      <c r="X953" s="1175"/>
      <c r="Y953" s="1175"/>
      <c r="Z953" s="1175"/>
      <c r="AA953" s="1176"/>
      <c r="AB953" s="1176"/>
      <c r="AC953" s="1176"/>
    </row>
    <row r="954" spans="16:29">
      <c r="P954" s="1175"/>
      <c r="Q954" s="1175"/>
      <c r="R954" s="1175"/>
      <c r="S954" s="1175"/>
      <c r="T954" s="1175"/>
      <c r="U954" s="1175"/>
      <c r="V954" s="1175"/>
      <c r="W954" s="1175"/>
      <c r="X954" s="1175"/>
      <c r="Y954" s="1175"/>
      <c r="Z954" s="1175"/>
      <c r="AA954" s="1176"/>
      <c r="AB954" s="1176"/>
      <c r="AC954" s="1176"/>
    </row>
    <row r="955" spans="16:29">
      <c r="P955" s="1175"/>
      <c r="Q955" s="1175"/>
      <c r="R955" s="1175"/>
      <c r="S955" s="1175"/>
      <c r="T955" s="1175"/>
      <c r="U955" s="1175"/>
      <c r="V955" s="1175"/>
      <c r="W955" s="1175"/>
      <c r="X955" s="1175"/>
      <c r="Y955" s="1175"/>
      <c r="Z955" s="1175"/>
      <c r="AA955" s="1176"/>
      <c r="AB955" s="1176"/>
      <c r="AC955" s="1176"/>
    </row>
    <row r="956" spans="16:29">
      <c r="P956" s="1175"/>
      <c r="Q956" s="1175"/>
      <c r="R956" s="1175"/>
      <c r="S956" s="1175"/>
      <c r="T956" s="1175"/>
      <c r="U956" s="1175"/>
      <c r="V956" s="1175"/>
      <c r="W956" s="1175"/>
      <c r="X956" s="1175"/>
      <c r="Y956" s="1175"/>
      <c r="Z956" s="1175"/>
      <c r="AA956" s="1176"/>
      <c r="AB956" s="1176"/>
      <c r="AC956" s="1176"/>
    </row>
    <row r="957" spans="16:29">
      <c r="P957" s="1175"/>
      <c r="Q957" s="1175"/>
      <c r="R957" s="1175"/>
      <c r="S957" s="1175"/>
      <c r="T957" s="1175"/>
      <c r="U957" s="1175"/>
      <c r="V957" s="1175"/>
      <c r="W957" s="1175"/>
      <c r="X957" s="1175"/>
      <c r="Y957" s="1175"/>
      <c r="Z957" s="1175"/>
      <c r="AA957" s="1176"/>
      <c r="AB957" s="1176"/>
      <c r="AC957" s="1176"/>
    </row>
    <row r="958" spans="16:29">
      <c r="P958" s="1175"/>
      <c r="Q958" s="1175"/>
      <c r="R958" s="1175"/>
      <c r="S958" s="1175"/>
      <c r="T958" s="1175"/>
      <c r="U958" s="1175"/>
      <c r="V958" s="1175"/>
      <c r="W958" s="1175"/>
      <c r="X958" s="1175"/>
      <c r="Y958" s="1175"/>
      <c r="Z958" s="1175"/>
      <c r="AA958" s="1176"/>
      <c r="AB958" s="1176"/>
      <c r="AC958" s="1176"/>
    </row>
    <row r="959" spans="16:29">
      <c r="P959" s="1175"/>
      <c r="Q959" s="1175"/>
      <c r="R959" s="1175"/>
      <c r="S959" s="1175"/>
      <c r="T959" s="1175"/>
      <c r="U959" s="1175"/>
      <c r="V959" s="1175"/>
      <c r="W959" s="1175"/>
      <c r="X959" s="1175"/>
      <c r="Y959" s="1175"/>
      <c r="Z959" s="1175"/>
      <c r="AA959" s="1176"/>
      <c r="AB959" s="1176"/>
      <c r="AC959" s="1176"/>
    </row>
    <row r="960" spans="16:29">
      <c r="P960" s="1175"/>
      <c r="Q960" s="1175"/>
      <c r="R960" s="1175"/>
      <c r="S960" s="1175"/>
      <c r="T960" s="1175"/>
      <c r="U960" s="1175"/>
      <c r="V960" s="1175"/>
      <c r="W960" s="1175"/>
      <c r="X960" s="1175"/>
      <c r="Y960" s="1175"/>
      <c r="Z960" s="1175"/>
      <c r="AA960" s="1176"/>
      <c r="AB960" s="1176"/>
      <c r="AC960" s="1176"/>
    </row>
    <row r="961" spans="16:29">
      <c r="P961" s="1175"/>
      <c r="Q961" s="1175"/>
      <c r="R961" s="1175"/>
      <c r="S961" s="1175"/>
      <c r="T961" s="1175"/>
      <c r="U961" s="1175"/>
      <c r="V961" s="1175"/>
      <c r="W961" s="1175"/>
      <c r="X961" s="1175"/>
      <c r="Y961" s="1175"/>
      <c r="Z961" s="1175"/>
      <c r="AA961" s="1176"/>
      <c r="AB961" s="1176"/>
      <c r="AC961" s="1176"/>
    </row>
    <row r="962" spans="16:29">
      <c r="P962" s="1175"/>
      <c r="Q962" s="1175"/>
      <c r="R962" s="1175"/>
      <c r="S962" s="1175"/>
      <c r="T962" s="1175"/>
      <c r="U962" s="1175"/>
      <c r="V962" s="1175"/>
      <c r="W962" s="1175"/>
      <c r="X962" s="1175"/>
      <c r="Y962" s="1175"/>
      <c r="Z962" s="1175"/>
      <c r="AA962" s="1176"/>
      <c r="AB962" s="1176"/>
      <c r="AC962" s="1176"/>
    </row>
    <row r="963" spans="16:29">
      <c r="P963" s="1175"/>
      <c r="Q963" s="1175"/>
      <c r="R963" s="1175"/>
      <c r="S963" s="1175"/>
      <c r="T963" s="1175"/>
      <c r="U963" s="1175"/>
      <c r="V963" s="1175"/>
      <c r="W963" s="1175"/>
      <c r="X963" s="1175"/>
      <c r="Y963" s="1175"/>
      <c r="Z963" s="1175"/>
      <c r="AA963" s="1176"/>
      <c r="AB963" s="1176"/>
      <c r="AC963" s="1176"/>
    </row>
    <row r="964" spans="16:29">
      <c r="P964" s="1175"/>
      <c r="Q964" s="1175"/>
      <c r="R964" s="1175"/>
      <c r="S964" s="1175"/>
      <c r="T964" s="1175"/>
      <c r="U964" s="1175"/>
      <c r="V964" s="1175"/>
      <c r="W964" s="1175"/>
      <c r="X964" s="1175"/>
      <c r="Y964" s="1175"/>
      <c r="Z964" s="1175"/>
      <c r="AA964" s="1176"/>
      <c r="AB964" s="1176"/>
      <c r="AC964" s="1176"/>
    </row>
    <row r="965" spans="16:29">
      <c r="P965" s="1175"/>
      <c r="Q965" s="1175"/>
      <c r="R965" s="1175"/>
      <c r="S965" s="1175"/>
      <c r="T965" s="1175"/>
      <c r="U965" s="1175"/>
      <c r="V965" s="1175"/>
      <c r="W965" s="1175"/>
      <c r="X965" s="1175"/>
      <c r="Y965" s="1175"/>
      <c r="Z965" s="1175"/>
      <c r="AA965" s="1176"/>
      <c r="AB965" s="1176"/>
      <c r="AC965" s="1176"/>
    </row>
    <row r="966" spans="16:29">
      <c r="P966" s="1175"/>
      <c r="Q966" s="1175"/>
      <c r="R966" s="1175"/>
      <c r="S966" s="1175"/>
      <c r="T966" s="1175"/>
      <c r="U966" s="1175"/>
      <c r="V966" s="1175"/>
      <c r="W966" s="1175"/>
      <c r="X966" s="1175"/>
      <c r="Y966" s="1175"/>
      <c r="Z966" s="1175"/>
      <c r="AA966" s="1176"/>
      <c r="AB966" s="1176"/>
      <c r="AC966" s="1176"/>
    </row>
    <row r="967" spans="16:29">
      <c r="P967" s="1175"/>
      <c r="Q967" s="1175"/>
      <c r="R967" s="1175"/>
      <c r="S967" s="1175"/>
      <c r="T967" s="1175"/>
      <c r="U967" s="1175"/>
      <c r="V967" s="1175"/>
      <c r="W967" s="1175"/>
      <c r="X967" s="1175"/>
      <c r="Y967" s="1175"/>
      <c r="Z967" s="1175"/>
      <c r="AA967" s="1176"/>
      <c r="AB967" s="1176"/>
      <c r="AC967" s="1176"/>
    </row>
    <row r="968" spans="16:29">
      <c r="P968" s="1175"/>
      <c r="Q968" s="1175"/>
      <c r="R968" s="1175"/>
      <c r="S968" s="1175"/>
      <c r="T968" s="1175"/>
      <c r="U968" s="1175"/>
      <c r="V968" s="1175"/>
      <c r="W968" s="1175"/>
      <c r="X968" s="1175"/>
      <c r="Y968" s="1175"/>
      <c r="Z968" s="1175"/>
      <c r="AA968" s="1176"/>
      <c r="AB968" s="1176"/>
      <c r="AC968" s="1176"/>
    </row>
    <row r="969" spans="16:29">
      <c r="P969" s="1175"/>
      <c r="Q969" s="1175"/>
      <c r="R969" s="1175"/>
      <c r="S969" s="1175"/>
      <c r="T969" s="1175"/>
      <c r="U969" s="1175"/>
      <c r="V969" s="1175"/>
      <c r="W969" s="1175"/>
      <c r="X969" s="1175"/>
      <c r="Y969" s="1175"/>
      <c r="Z969" s="1175"/>
      <c r="AA969" s="1176"/>
      <c r="AB969" s="1176"/>
      <c r="AC969" s="1176"/>
    </row>
    <row r="970" spans="16:29">
      <c r="P970" s="1175"/>
      <c r="Q970" s="1175"/>
      <c r="R970" s="1175"/>
      <c r="S970" s="1175"/>
      <c r="T970" s="1175"/>
      <c r="U970" s="1175"/>
      <c r="V970" s="1175"/>
      <c r="W970" s="1175"/>
      <c r="X970" s="1175"/>
      <c r="Y970" s="1175"/>
      <c r="Z970" s="1175"/>
      <c r="AA970" s="1176"/>
      <c r="AB970" s="1176"/>
      <c r="AC970" s="1176"/>
    </row>
    <row r="971" spans="16:29">
      <c r="P971" s="1175"/>
      <c r="Q971" s="1175"/>
      <c r="R971" s="1175"/>
      <c r="S971" s="1175"/>
      <c r="T971" s="1175"/>
      <c r="U971" s="1175"/>
      <c r="V971" s="1175"/>
      <c r="W971" s="1175"/>
      <c r="X971" s="1175"/>
      <c r="Y971" s="1175"/>
      <c r="Z971" s="1175"/>
      <c r="AA971" s="1176"/>
      <c r="AB971" s="1176"/>
      <c r="AC971" s="1176"/>
    </row>
    <row r="972" spans="16:29">
      <c r="P972" s="1175"/>
      <c r="Q972" s="1175"/>
      <c r="R972" s="1175"/>
      <c r="S972" s="1175"/>
      <c r="T972" s="1175"/>
      <c r="U972" s="1175"/>
      <c r="V972" s="1175"/>
      <c r="W972" s="1175"/>
      <c r="X972" s="1175"/>
      <c r="Y972" s="1175"/>
      <c r="Z972" s="1175"/>
      <c r="AA972" s="1176"/>
      <c r="AB972" s="1176"/>
      <c r="AC972" s="1176"/>
    </row>
    <row r="973" spans="16:29">
      <c r="P973" s="1175"/>
      <c r="Q973" s="1175"/>
      <c r="R973" s="1175"/>
      <c r="S973" s="1175"/>
      <c r="T973" s="1175"/>
      <c r="U973" s="1175"/>
      <c r="V973" s="1175"/>
      <c r="W973" s="1175"/>
      <c r="X973" s="1175"/>
      <c r="Y973" s="1175"/>
      <c r="Z973" s="1175"/>
      <c r="AA973" s="1176"/>
      <c r="AB973" s="1176"/>
      <c r="AC973" s="1176"/>
    </row>
    <row r="974" spans="16:29">
      <c r="P974" s="1175"/>
      <c r="Q974" s="1175"/>
      <c r="R974" s="1175"/>
      <c r="S974" s="1175"/>
      <c r="T974" s="1175"/>
      <c r="U974" s="1175"/>
      <c r="V974" s="1175"/>
      <c r="W974" s="1175"/>
      <c r="X974" s="1175"/>
      <c r="Y974" s="1175"/>
      <c r="Z974" s="1175"/>
      <c r="AA974" s="1176"/>
      <c r="AB974" s="1176"/>
      <c r="AC974" s="1176"/>
    </row>
    <row r="975" spans="16:29">
      <c r="P975" s="1175"/>
      <c r="Q975" s="1175"/>
      <c r="R975" s="1175"/>
      <c r="S975" s="1175"/>
      <c r="T975" s="1175"/>
      <c r="U975" s="1175"/>
      <c r="V975" s="1175"/>
      <c r="W975" s="1175"/>
      <c r="X975" s="1175"/>
      <c r="Y975" s="1175"/>
      <c r="Z975" s="1175"/>
      <c r="AA975" s="1176"/>
      <c r="AB975" s="1176"/>
      <c r="AC975" s="1176"/>
    </row>
    <row r="976" spans="16:29">
      <c r="P976" s="1175"/>
      <c r="Q976" s="1175"/>
      <c r="R976" s="1175"/>
      <c r="S976" s="1175"/>
      <c r="T976" s="1175"/>
      <c r="U976" s="1175"/>
      <c r="V976" s="1175"/>
      <c r="W976" s="1175"/>
      <c r="X976" s="1175"/>
      <c r="Y976" s="1175"/>
      <c r="Z976" s="1175"/>
      <c r="AA976" s="1176"/>
      <c r="AB976" s="1176"/>
      <c r="AC976" s="1176"/>
    </row>
    <row r="977" spans="16:29">
      <c r="P977" s="1175"/>
      <c r="Q977" s="1175"/>
      <c r="R977" s="1175"/>
      <c r="S977" s="1175"/>
      <c r="T977" s="1175"/>
      <c r="U977" s="1175"/>
      <c r="V977" s="1175"/>
      <c r="W977" s="1175"/>
      <c r="X977" s="1175"/>
      <c r="Y977" s="1175"/>
      <c r="Z977" s="1175"/>
      <c r="AA977" s="1176"/>
      <c r="AB977" s="1176"/>
      <c r="AC977" s="1176"/>
    </row>
    <row r="978" spans="16:29">
      <c r="P978" s="1175"/>
      <c r="Q978" s="1175"/>
      <c r="R978" s="1175"/>
      <c r="S978" s="1175"/>
      <c r="T978" s="1175"/>
      <c r="U978" s="1175"/>
      <c r="V978" s="1175"/>
      <c r="W978" s="1175"/>
      <c r="X978" s="1175"/>
      <c r="Y978" s="1175"/>
      <c r="Z978" s="1175"/>
      <c r="AA978" s="1176"/>
      <c r="AB978" s="1176"/>
      <c r="AC978" s="1176"/>
    </row>
    <row r="979" spans="16:29">
      <c r="P979" s="1175"/>
      <c r="Q979" s="1175"/>
      <c r="R979" s="1175"/>
      <c r="S979" s="1175"/>
      <c r="T979" s="1175"/>
      <c r="U979" s="1175"/>
      <c r="V979" s="1175"/>
      <c r="W979" s="1175"/>
      <c r="X979" s="1175"/>
      <c r="Y979" s="1175"/>
      <c r="Z979" s="1175"/>
      <c r="AA979" s="1176"/>
      <c r="AB979" s="1176"/>
      <c r="AC979" s="1176"/>
    </row>
    <row r="980" spans="16:29">
      <c r="P980" s="1175"/>
      <c r="Q980" s="1175"/>
      <c r="R980" s="1175"/>
      <c r="S980" s="1175"/>
      <c r="T980" s="1175"/>
      <c r="U980" s="1175"/>
      <c r="V980" s="1175"/>
      <c r="W980" s="1175"/>
      <c r="X980" s="1175"/>
      <c r="Y980" s="1175"/>
      <c r="Z980" s="1175"/>
      <c r="AA980" s="1176"/>
      <c r="AB980" s="1176"/>
      <c r="AC980" s="1176"/>
    </row>
    <row r="981" spans="16:29">
      <c r="P981" s="1175"/>
      <c r="Q981" s="1175"/>
      <c r="R981" s="1175"/>
      <c r="S981" s="1175"/>
      <c r="T981" s="1175"/>
      <c r="U981" s="1175"/>
      <c r="V981" s="1175"/>
      <c r="W981" s="1175"/>
      <c r="X981" s="1175"/>
      <c r="Y981" s="1175"/>
      <c r="Z981" s="1175"/>
      <c r="AA981" s="1176"/>
      <c r="AB981" s="1176"/>
      <c r="AC981" s="1176"/>
    </row>
    <row r="982" spans="16:29">
      <c r="P982" s="1175"/>
      <c r="Q982" s="1175"/>
      <c r="R982" s="1175"/>
      <c r="S982" s="1175"/>
      <c r="T982" s="1175"/>
      <c r="U982" s="1175"/>
      <c r="V982" s="1175"/>
      <c r="W982" s="1175"/>
      <c r="X982" s="1175"/>
      <c r="Y982" s="1175"/>
      <c r="Z982" s="1175"/>
      <c r="AA982" s="1176"/>
      <c r="AB982" s="1176"/>
      <c r="AC982" s="1176"/>
    </row>
    <row r="983" spans="16:29">
      <c r="P983" s="1175"/>
      <c r="Q983" s="1175"/>
      <c r="R983" s="1175"/>
      <c r="S983" s="1175"/>
      <c r="T983" s="1175"/>
      <c r="U983" s="1175"/>
      <c r="V983" s="1175"/>
      <c r="W983" s="1175"/>
      <c r="X983" s="1175"/>
      <c r="Y983" s="1175"/>
      <c r="Z983" s="1175"/>
      <c r="AA983" s="1176"/>
      <c r="AB983" s="1176"/>
      <c r="AC983" s="1176"/>
    </row>
    <row r="984" spans="16:29">
      <c r="P984" s="1175"/>
      <c r="Q984" s="1175"/>
      <c r="R984" s="1175"/>
      <c r="S984" s="1175"/>
      <c r="T984" s="1175"/>
      <c r="U984" s="1175"/>
      <c r="V984" s="1175"/>
      <c r="W984" s="1175"/>
      <c r="X984" s="1175"/>
      <c r="Y984" s="1175"/>
      <c r="Z984" s="1175"/>
      <c r="AA984" s="1176"/>
      <c r="AB984" s="1176"/>
      <c r="AC984" s="1176"/>
    </row>
    <row r="985" spans="16:29">
      <c r="P985" s="1175"/>
      <c r="Q985" s="1175"/>
      <c r="R985" s="1175"/>
      <c r="S985" s="1175"/>
      <c r="T985" s="1175"/>
      <c r="U985" s="1175"/>
      <c r="V985" s="1175"/>
      <c r="W985" s="1175"/>
      <c r="X985" s="1175"/>
      <c r="Y985" s="1175"/>
      <c r="Z985" s="1175"/>
      <c r="AA985" s="1176"/>
      <c r="AB985" s="1176"/>
      <c r="AC985" s="1176"/>
    </row>
    <row r="986" spans="16:29">
      <c r="P986" s="1175"/>
      <c r="Q986" s="1175"/>
      <c r="R986" s="1175"/>
      <c r="S986" s="1175"/>
      <c r="T986" s="1175"/>
      <c r="U986" s="1175"/>
      <c r="V986" s="1175"/>
      <c r="W986" s="1175"/>
      <c r="X986" s="1175"/>
      <c r="Y986" s="1175"/>
      <c r="Z986" s="1175"/>
      <c r="AA986" s="1176"/>
      <c r="AB986" s="1176"/>
      <c r="AC986" s="1176"/>
    </row>
    <row r="987" spans="16:29">
      <c r="P987" s="1175"/>
      <c r="Q987" s="1175"/>
      <c r="R987" s="1175"/>
      <c r="S987" s="1175"/>
      <c r="T987" s="1175"/>
      <c r="U987" s="1175"/>
      <c r="V987" s="1175"/>
      <c r="W987" s="1175"/>
      <c r="X987" s="1175"/>
      <c r="Y987" s="1175"/>
      <c r="Z987" s="1175"/>
      <c r="AA987" s="1176"/>
      <c r="AB987" s="1176"/>
      <c r="AC987" s="1176"/>
    </row>
    <row r="988" spans="16:29">
      <c r="P988" s="1175"/>
      <c r="Q988" s="1175"/>
      <c r="R988" s="1175"/>
      <c r="S988" s="1175"/>
      <c r="T988" s="1175"/>
      <c r="U988" s="1175"/>
      <c r="V988" s="1175"/>
      <c r="W988" s="1175"/>
      <c r="X988" s="1175"/>
      <c r="Y988" s="1175"/>
      <c r="Z988" s="1175"/>
      <c r="AA988" s="1176"/>
      <c r="AB988" s="1176"/>
      <c r="AC988" s="1176"/>
    </row>
    <row r="989" spans="16:29">
      <c r="P989" s="1175"/>
      <c r="Q989" s="1175"/>
      <c r="R989" s="1175"/>
      <c r="S989" s="1175"/>
      <c r="T989" s="1175"/>
      <c r="U989" s="1175"/>
      <c r="V989" s="1175"/>
      <c r="W989" s="1175"/>
      <c r="X989" s="1175"/>
      <c r="Y989" s="1175"/>
      <c r="Z989" s="1175"/>
      <c r="AA989" s="1176"/>
      <c r="AB989" s="1176"/>
      <c r="AC989" s="1176"/>
    </row>
    <row r="990" spans="16:29">
      <c r="P990" s="1175"/>
      <c r="Q990" s="1175"/>
      <c r="R990" s="1175"/>
      <c r="S990" s="1175"/>
      <c r="T990" s="1175"/>
      <c r="U990" s="1175"/>
      <c r="V990" s="1175"/>
      <c r="W990" s="1175"/>
      <c r="X990" s="1175"/>
      <c r="Y990" s="1175"/>
      <c r="Z990" s="1175"/>
      <c r="AA990" s="1176"/>
      <c r="AB990" s="1176"/>
      <c r="AC990" s="1176"/>
    </row>
    <row r="991" spans="16:29">
      <c r="P991" s="1175"/>
      <c r="Q991" s="1175"/>
      <c r="R991" s="1175"/>
      <c r="S991" s="1175"/>
      <c r="T991" s="1175"/>
      <c r="U991" s="1175"/>
      <c r="V991" s="1175"/>
      <c r="W991" s="1175"/>
      <c r="X991" s="1175"/>
      <c r="Y991" s="1175"/>
      <c r="Z991" s="1175"/>
      <c r="AA991" s="1176"/>
      <c r="AB991" s="1176"/>
      <c r="AC991" s="1176"/>
    </row>
    <row r="992" spans="16:29">
      <c r="P992" s="1175"/>
      <c r="Q992" s="1175"/>
      <c r="R992" s="1175"/>
      <c r="S992" s="1175"/>
      <c r="T992" s="1175"/>
      <c r="U992" s="1175"/>
      <c r="V992" s="1175"/>
      <c r="W992" s="1175"/>
      <c r="X992" s="1175"/>
      <c r="Y992" s="1175"/>
      <c r="Z992" s="1175"/>
      <c r="AA992" s="1176"/>
      <c r="AB992" s="1176"/>
      <c r="AC992" s="1176"/>
    </row>
    <row r="993" spans="16:29">
      <c r="P993" s="1175"/>
      <c r="Q993" s="1175"/>
      <c r="R993" s="1175"/>
      <c r="S993" s="1175"/>
      <c r="T993" s="1175"/>
      <c r="U993" s="1175"/>
      <c r="V993" s="1175"/>
      <c r="W993" s="1175"/>
      <c r="X993" s="1175"/>
      <c r="Y993" s="1175"/>
      <c r="Z993" s="1175"/>
      <c r="AA993" s="1176"/>
      <c r="AB993" s="1176"/>
      <c r="AC993" s="1176"/>
    </row>
    <row r="994" spans="16:29">
      <c r="P994" s="1175"/>
      <c r="Q994" s="1175"/>
      <c r="R994" s="1175"/>
      <c r="S994" s="1175"/>
      <c r="T994" s="1175"/>
      <c r="U994" s="1175"/>
      <c r="V994" s="1175"/>
      <c r="W994" s="1175"/>
      <c r="X994" s="1175"/>
      <c r="Y994" s="1175"/>
      <c r="Z994" s="1175"/>
      <c r="AA994" s="1176"/>
      <c r="AB994" s="1176"/>
      <c r="AC994" s="1176"/>
    </row>
    <row r="995" spans="16:29">
      <c r="P995" s="1175"/>
      <c r="Q995" s="1175"/>
      <c r="R995" s="1175"/>
      <c r="S995" s="1175"/>
      <c r="T995" s="1175"/>
      <c r="U995" s="1175"/>
      <c r="V995" s="1175"/>
      <c r="W995" s="1175"/>
      <c r="X995" s="1175"/>
      <c r="Y995" s="1175"/>
      <c r="Z995" s="1175"/>
      <c r="AA995" s="1176"/>
      <c r="AB995" s="1176"/>
      <c r="AC995" s="1176"/>
    </row>
    <row r="996" spans="16:29">
      <c r="P996" s="1175"/>
      <c r="Q996" s="1175"/>
      <c r="R996" s="1175"/>
      <c r="S996" s="1175"/>
      <c r="T996" s="1175"/>
      <c r="U996" s="1175"/>
      <c r="V996" s="1175"/>
      <c r="W996" s="1175"/>
      <c r="X996" s="1175"/>
      <c r="Y996" s="1175"/>
      <c r="Z996" s="1175"/>
      <c r="AA996" s="1176"/>
      <c r="AB996" s="1176"/>
      <c r="AC996" s="1176"/>
    </row>
    <row r="997" spans="16:29">
      <c r="P997" s="1175"/>
      <c r="Q997" s="1175"/>
      <c r="R997" s="1175"/>
      <c r="S997" s="1175"/>
      <c r="T997" s="1175"/>
      <c r="U997" s="1175"/>
      <c r="V997" s="1175"/>
      <c r="W997" s="1175"/>
      <c r="X997" s="1175"/>
      <c r="Y997" s="1175"/>
      <c r="Z997" s="1175"/>
      <c r="AA997" s="1176"/>
      <c r="AB997" s="1176"/>
      <c r="AC997" s="1176"/>
    </row>
    <row r="998" spans="16:29">
      <c r="P998" s="1175"/>
      <c r="Q998" s="1175"/>
      <c r="R998" s="1175"/>
      <c r="S998" s="1175"/>
      <c r="T998" s="1175"/>
      <c r="U998" s="1175"/>
      <c r="V998" s="1175"/>
      <c r="W998" s="1175"/>
      <c r="X998" s="1175"/>
      <c r="Y998" s="1175"/>
      <c r="Z998" s="1175"/>
      <c r="AA998" s="1176"/>
      <c r="AB998" s="1176"/>
      <c r="AC998" s="1176"/>
    </row>
    <row r="999" spans="16:29">
      <c r="P999" s="1175"/>
      <c r="Q999" s="1175"/>
      <c r="R999" s="1175"/>
      <c r="S999" s="1175"/>
      <c r="T999" s="1175"/>
      <c r="U999" s="1175"/>
      <c r="V999" s="1175"/>
      <c r="W999" s="1175"/>
      <c r="X999" s="1175"/>
      <c r="Y999" s="1175"/>
      <c r="Z999" s="1175"/>
      <c r="AA999" s="1176"/>
      <c r="AB999" s="1176"/>
      <c r="AC999" s="1176"/>
    </row>
    <row r="1000" spans="16:29">
      <c r="P1000" s="1175"/>
      <c r="Q1000" s="1175"/>
      <c r="R1000" s="1175"/>
      <c r="S1000" s="1175"/>
      <c r="T1000" s="1175"/>
      <c r="U1000" s="1175"/>
      <c r="V1000" s="1175"/>
      <c r="W1000" s="1175"/>
      <c r="X1000" s="1175"/>
      <c r="Y1000" s="1175"/>
      <c r="Z1000" s="1175"/>
      <c r="AA1000" s="1176"/>
      <c r="AB1000" s="1176"/>
      <c r="AC1000" s="1176"/>
    </row>
    <row r="1001" spans="16:29">
      <c r="P1001" s="1175"/>
      <c r="Q1001" s="1175"/>
      <c r="R1001" s="1175"/>
      <c r="S1001" s="1175"/>
      <c r="T1001" s="1175"/>
      <c r="U1001" s="1175"/>
      <c r="V1001" s="1175"/>
      <c r="W1001" s="1175"/>
      <c r="X1001" s="1175"/>
      <c r="Y1001" s="1175"/>
      <c r="Z1001" s="1175"/>
      <c r="AA1001" s="1176"/>
      <c r="AB1001" s="1176"/>
      <c r="AC1001" s="1176"/>
    </row>
    <row r="1002" spans="16:29">
      <c r="P1002" s="1175"/>
      <c r="Q1002" s="1175"/>
      <c r="R1002" s="1175"/>
      <c r="S1002" s="1175"/>
      <c r="T1002" s="1175"/>
      <c r="U1002" s="1175"/>
      <c r="V1002" s="1175"/>
      <c r="W1002" s="1175"/>
      <c r="X1002" s="1175"/>
      <c r="Y1002" s="1175"/>
      <c r="Z1002" s="1175"/>
      <c r="AA1002" s="1176"/>
      <c r="AB1002" s="1176"/>
      <c r="AC1002" s="1176"/>
    </row>
    <row r="1003" spans="16:29">
      <c r="P1003" s="1175"/>
      <c r="Q1003" s="1175"/>
      <c r="R1003" s="1175"/>
      <c r="S1003" s="1175"/>
      <c r="T1003" s="1175"/>
      <c r="U1003" s="1175"/>
      <c r="V1003" s="1175"/>
      <c r="W1003" s="1175"/>
      <c r="X1003" s="1175"/>
      <c r="Y1003" s="1175"/>
      <c r="Z1003" s="1175"/>
      <c r="AA1003" s="1176"/>
      <c r="AB1003" s="1176"/>
      <c r="AC1003" s="1176"/>
    </row>
    <row r="1004" spans="16:29">
      <c r="P1004" s="1175"/>
      <c r="Q1004" s="1175"/>
      <c r="R1004" s="1175"/>
      <c r="S1004" s="1175"/>
      <c r="T1004" s="1175"/>
      <c r="U1004" s="1175"/>
      <c r="V1004" s="1175"/>
      <c r="W1004" s="1175"/>
      <c r="X1004" s="1175"/>
      <c r="Y1004" s="1175"/>
      <c r="Z1004" s="1175"/>
      <c r="AA1004" s="1176"/>
      <c r="AB1004" s="1176"/>
      <c r="AC1004" s="1176"/>
    </row>
    <row r="1005" spans="16:29">
      <c r="P1005" s="1175"/>
      <c r="Q1005" s="1175"/>
      <c r="R1005" s="1175"/>
      <c r="S1005" s="1175"/>
      <c r="T1005" s="1175"/>
      <c r="U1005" s="1175"/>
      <c r="V1005" s="1175"/>
      <c r="W1005" s="1175"/>
      <c r="X1005" s="1175"/>
      <c r="Y1005" s="1175"/>
      <c r="Z1005" s="1175"/>
      <c r="AA1005" s="1176"/>
      <c r="AB1005" s="1176"/>
      <c r="AC1005" s="1176"/>
    </row>
    <row r="1006" spans="16:29">
      <c r="P1006" s="1175"/>
      <c r="Q1006" s="1175"/>
      <c r="R1006" s="1175"/>
      <c r="S1006" s="1175"/>
      <c r="T1006" s="1175"/>
      <c r="U1006" s="1175"/>
      <c r="V1006" s="1175"/>
      <c r="W1006" s="1175"/>
      <c r="X1006" s="1175"/>
      <c r="Y1006" s="1175"/>
      <c r="Z1006" s="1175"/>
      <c r="AA1006" s="1176"/>
      <c r="AB1006" s="1176"/>
      <c r="AC1006" s="1176"/>
    </row>
    <row r="1007" spans="16:29">
      <c r="P1007" s="1175"/>
      <c r="Q1007" s="1175"/>
      <c r="R1007" s="1175"/>
      <c r="S1007" s="1175"/>
      <c r="T1007" s="1175"/>
      <c r="U1007" s="1175"/>
      <c r="V1007" s="1175"/>
      <c r="W1007" s="1175"/>
      <c r="X1007" s="1175"/>
      <c r="Y1007" s="1175"/>
      <c r="Z1007" s="1175"/>
      <c r="AA1007" s="1176"/>
      <c r="AB1007" s="1176"/>
      <c r="AC1007" s="1176"/>
    </row>
    <row r="1008" spans="16:29">
      <c r="P1008" s="1175"/>
      <c r="Q1008" s="1175"/>
      <c r="R1008" s="1175"/>
      <c r="S1008" s="1175"/>
      <c r="T1008" s="1175"/>
      <c r="U1008" s="1175"/>
      <c r="V1008" s="1175"/>
      <c r="W1008" s="1175"/>
      <c r="X1008" s="1175"/>
      <c r="Y1008" s="1175"/>
      <c r="Z1008" s="1175"/>
      <c r="AA1008" s="1176"/>
      <c r="AB1008" s="1176"/>
      <c r="AC1008" s="1176"/>
    </row>
    <row r="1009" spans="16:29">
      <c r="P1009" s="1175"/>
      <c r="Q1009" s="1175"/>
      <c r="R1009" s="1175"/>
      <c r="S1009" s="1175"/>
      <c r="T1009" s="1175"/>
      <c r="U1009" s="1175"/>
      <c r="V1009" s="1175"/>
      <c r="W1009" s="1175"/>
      <c r="X1009" s="1175"/>
      <c r="Y1009" s="1175"/>
      <c r="Z1009" s="1175"/>
      <c r="AA1009" s="1176"/>
      <c r="AB1009" s="1176"/>
      <c r="AC1009" s="1176"/>
    </row>
    <row r="1010" spans="16:29">
      <c r="P1010" s="1175"/>
      <c r="Q1010" s="1175"/>
      <c r="R1010" s="1175"/>
      <c r="S1010" s="1175"/>
      <c r="T1010" s="1175"/>
      <c r="U1010" s="1175"/>
      <c r="V1010" s="1175"/>
      <c r="W1010" s="1175"/>
      <c r="X1010" s="1175"/>
      <c r="Y1010" s="1175"/>
      <c r="Z1010" s="1175"/>
      <c r="AA1010" s="1176"/>
      <c r="AB1010" s="1176"/>
      <c r="AC1010" s="1176"/>
    </row>
    <row r="1011" spans="16:29">
      <c r="P1011" s="1175"/>
      <c r="Q1011" s="1175"/>
      <c r="R1011" s="1175"/>
      <c r="S1011" s="1175"/>
      <c r="T1011" s="1175"/>
      <c r="U1011" s="1175"/>
      <c r="V1011" s="1175"/>
      <c r="W1011" s="1175"/>
      <c r="X1011" s="1175"/>
      <c r="Y1011" s="1175"/>
      <c r="Z1011" s="1175"/>
      <c r="AA1011" s="1176"/>
      <c r="AB1011" s="1176"/>
      <c r="AC1011" s="1176"/>
    </row>
    <row r="1012" spans="16:29">
      <c r="P1012" s="1175"/>
      <c r="Q1012" s="1175"/>
      <c r="R1012" s="1175"/>
      <c r="S1012" s="1175"/>
      <c r="T1012" s="1175"/>
      <c r="U1012" s="1175"/>
      <c r="V1012" s="1175"/>
      <c r="W1012" s="1175"/>
      <c r="X1012" s="1175"/>
      <c r="Y1012" s="1175"/>
      <c r="Z1012" s="1175"/>
      <c r="AA1012" s="1176"/>
      <c r="AB1012" s="1176"/>
      <c r="AC1012" s="1176"/>
    </row>
    <row r="1013" spans="16:29">
      <c r="P1013" s="1175"/>
      <c r="Q1013" s="1175"/>
      <c r="R1013" s="1175"/>
      <c r="S1013" s="1175"/>
      <c r="T1013" s="1175"/>
      <c r="U1013" s="1175"/>
      <c r="V1013" s="1175"/>
      <c r="W1013" s="1175"/>
      <c r="X1013" s="1175"/>
      <c r="Y1013" s="1175"/>
      <c r="Z1013" s="1175"/>
      <c r="AA1013" s="1176"/>
      <c r="AB1013" s="1176"/>
      <c r="AC1013" s="1176"/>
    </row>
    <row r="1014" spans="16:29">
      <c r="P1014" s="1175"/>
      <c r="Q1014" s="1175"/>
      <c r="R1014" s="1175"/>
      <c r="S1014" s="1175"/>
      <c r="T1014" s="1175"/>
      <c r="U1014" s="1175"/>
      <c r="V1014" s="1175"/>
      <c r="W1014" s="1175"/>
      <c r="X1014" s="1175"/>
      <c r="Y1014" s="1175"/>
      <c r="Z1014" s="1175"/>
      <c r="AA1014" s="1176"/>
      <c r="AB1014" s="1176"/>
      <c r="AC1014" s="1176"/>
    </row>
    <row r="1015" spans="16:29">
      <c r="P1015" s="1175"/>
      <c r="Q1015" s="1175"/>
      <c r="R1015" s="1175"/>
      <c r="S1015" s="1175"/>
      <c r="T1015" s="1175"/>
      <c r="U1015" s="1175"/>
      <c r="V1015" s="1175"/>
      <c r="W1015" s="1175"/>
      <c r="X1015" s="1175"/>
      <c r="Y1015" s="1175"/>
      <c r="Z1015" s="1175"/>
      <c r="AA1015" s="1176"/>
      <c r="AB1015" s="1176"/>
      <c r="AC1015" s="1176"/>
    </row>
    <row r="1016" spans="16:29">
      <c r="P1016" s="1175"/>
      <c r="Q1016" s="1175"/>
      <c r="R1016" s="1175"/>
      <c r="S1016" s="1175"/>
      <c r="T1016" s="1175"/>
      <c r="U1016" s="1175"/>
      <c r="V1016" s="1175"/>
      <c r="W1016" s="1175"/>
      <c r="X1016" s="1175"/>
      <c r="Y1016" s="1175"/>
      <c r="Z1016" s="1175"/>
      <c r="AA1016" s="1176"/>
      <c r="AB1016" s="1176"/>
      <c r="AC1016" s="1176"/>
    </row>
    <row r="1017" spans="16:29">
      <c r="P1017" s="1175"/>
      <c r="Q1017" s="1175"/>
      <c r="R1017" s="1175"/>
      <c r="S1017" s="1175"/>
      <c r="T1017" s="1175"/>
      <c r="U1017" s="1175"/>
      <c r="V1017" s="1175"/>
      <c r="W1017" s="1175"/>
      <c r="X1017" s="1175"/>
      <c r="Y1017" s="1175"/>
      <c r="Z1017" s="1175"/>
      <c r="AA1017" s="1176"/>
      <c r="AB1017" s="1176"/>
      <c r="AC1017" s="1176"/>
    </row>
    <row r="1018" spans="16:29">
      <c r="P1018" s="1175"/>
      <c r="Q1018" s="1175"/>
      <c r="R1018" s="1175"/>
      <c r="S1018" s="1175"/>
      <c r="T1018" s="1175"/>
      <c r="U1018" s="1175"/>
      <c r="V1018" s="1175"/>
      <c r="W1018" s="1175"/>
      <c r="X1018" s="1175"/>
      <c r="Y1018" s="1175"/>
      <c r="Z1018" s="1175"/>
      <c r="AA1018" s="1176"/>
      <c r="AB1018" s="1176"/>
      <c r="AC1018" s="1176"/>
    </row>
    <row r="1019" spans="16:29">
      <c r="P1019" s="1175"/>
      <c r="Q1019" s="1175"/>
      <c r="R1019" s="1175"/>
      <c r="S1019" s="1175"/>
      <c r="T1019" s="1175"/>
      <c r="U1019" s="1175"/>
      <c r="V1019" s="1175"/>
      <c r="W1019" s="1175"/>
      <c r="X1019" s="1175"/>
      <c r="Y1019" s="1175"/>
      <c r="Z1019" s="1175"/>
      <c r="AA1019" s="1176"/>
      <c r="AB1019" s="1176"/>
      <c r="AC1019" s="1176"/>
    </row>
    <row r="1020" spans="16:29">
      <c r="P1020" s="1175"/>
      <c r="Q1020" s="1175"/>
      <c r="R1020" s="1175"/>
      <c r="S1020" s="1175"/>
      <c r="T1020" s="1175"/>
      <c r="U1020" s="1175"/>
      <c r="V1020" s="1175"/>
      <c r="W1020" s="1175"/>
      <c r="X1020" s="1175"/>
      <c r="Y1020" s="1175"/>
      <c r="Z1020" s="1175"/>
      <c r="AA1020" s="1176"/>
      <c r="AB1020" s="1176"/>
      <c r="AC1020" s="1176"/>
    </row>
    <row r="1021" spans="16:29">
      <c r="P1021" s="1175"/>
      <c r="Q1021" s="1175"/>
      <c r="R1021" s="1175"/>
      <c r="S1021" s="1175"/>
      <c r="T1021" s="1175"/>
      <c r="U1021" s="1175"/>
      <c r="V1021" s="1175"/>
      <c r="W1021" s="1175"/>
      <c r="X1021" s="1175"/>
      <c r="Y1021" s="1175"/>
      <c r="Z1021" s="1175"/>
      <c r="AA1021" s="1176"/>
      <c r="AB1021" s="1176"/>
      <c r="AC1021" s="1176"/>
    </row>
    <row r="1022" spans="16:29">
      <c r="P1022" s="1175"/>
      <c r="Q1022" s="1175"/>
      <c r="R1022" s="1175"/>
      <c r="S1022" s="1175"/>
      <c r="T1022" s="1175"/>
      <c r="U1022" s="1175"/>
      <c r="V1022" s="1175"/>
      <c r="W1022" s="1175"/>
      <c r="X1022" s="1175"/>
      <c r="Y1022" s="1175"/>
      <c r="Z1022" s="1175"/>
      <c r="AA1022" s="1176"/>
      <c r="AB1022" s="1176"/>
      <c r="AC1022" s="1176"/>
    </row>
    <row r="1023" spans="16:29">
      <c r="P1023" s="1175"/>
      <c r="Q1023" s="1175"/>
      <c r="R1023" s="1175"/>
      <c r="S1023" s="1175"/>
      <c r="T1023" s="1175"/>
      <c r="U1023" s="1175"/>
      <c r="V1023" s="1175"/>
      <c r="W1023" s="1175"/>
      <c r="X1023" s="1175"/>
      <c r="Y1023" s="1175"/>
      <c r="Z1023" s="1175"/>
      <c r="AA1023" s="1176"/>
      <c r="AB1023" s="1176"/>
      <c r="AC1023" s="1176"/>
    </row>
    <row r="1024" spans="16:29">
      <c r="P1024" s="1175"/>
      <c r="Q1024" s="1175"/>
      <c r="R1024" s="1175"/>
      <c r="S1024" s="1175"/>
      <c r="T1024" s="1175"/>
      <c r="U1024" s="1175"/>
      <c r="V1024" s="1175"/>
      <c r="W1024" s="1175"/>
      <c r="X1024" s="1175"/>
      <c r="Y1024" s="1175"/>
      <c r="Z1024" s="1175"/>
      <c r="AA1024" s="1176"/>
      <c r="AB1024" s="1176"/>
      <c r="AC1024" s="1175"/>
    </row>
    <row r="1025" spans="16:29">
      <c r="P1025" s="1175"/>
      <c r="Q1025" s="1175"/>
      <c r="R1025" s="1175"/>
      <c r="S1025" s="1175"/>
      <c r="T1025" s="1175"/>
      <c r="U1025" s="1175"/>
      <c r="V1025" s="1175"/>
      <c r="W1025" s="1175"/>
      <c r="X1025" s="1175"/>
      <c r="Y1025" s="1175"/>
      <c r="Z1025" s="1175"/>
      <c r="AA1025" s="1176"/>
      <c r="AB1025" s="1176"/>
      <c r="AC1025" s="1176"/>
    </row>
    <row r="1026" spans="16:29">
      <c r="P1026" s="1175"/>
      <c r="Q1026" s="1175"/>
      <c r="R1026" s="1175"/>
      <c r="S1026" s="1175"/>
      <c r="T1026" s="1175"/>
      <c r="U1026" s="1175"/>
      <c r="V1026" s="1175"/>
      <c r="W1026" s="1175"/>
      <c r="X1026" s="1175"/>
      <c r="Y1026" s="1175"/>
      <c r="Z1026" s="1175"/>
      <c r="AA1026" s="1176"/>
      <c r="AB1026" s="1176"/>
      <c r="AC1026" s="1176"/>
    </row>
    <row r="1027" spans="16:29">
      <c r="P1027" s="1175"/>
      <c r="Q1027" s="1175"/>
      <c r="R1027" s="1175"/>
      <c r="S1027" s="1175"/>
      <c r="T1027" s="1175"/>
      <c r="U1027" s="1175"/>
      <c r="V1027" s="1175"/>
      <c r="W1027" s="1175"/>
      <c r="X1027" s="1175"/>
      <c r="Y1027" s="1175"/>
      <c r="Z1027" s="1175"/>
      <c r="AA1027" s="1176"/>
      <c r="AB1027" s="1176"/>
      <c r="AC1027" s="1176"/>
    </row>
    <row r="1028" spans="16:29">
      <c r="P1028" s="1175"/>
      <c r="Q1028" s="1175"/>
      <c r="R1028" s="1175"/>
      <c r="S1028" s="1175"/>
      <c r="T1028" s="1175"/>
      <c r="U1028" s="1175"/>
      <c r="V1028" s="1175"/>
      <c r="W1028" s="1175"/>
      <c r="X1028" s="1175"/>
      <c r="Y1028" s="1175"/>
      <c r="Z1028" s="1175"/>
      <c r="AA1028" s="1176"/>
      <c r="AB1028" s="1176"/>
      <c r="AC1028" s="1176"/>
    </row>
    <row r="1029" spans="16:29">
      <c r="P1029" s="1175"/>
      <c r="Q1029" s="1175"/>
      <c r="R1029" s="1175"/>
      <c r="S1029" s="1175"/>
      <c r="T1029" s="1175"/>
      <c r="U1029" s="1175"/>
      <c r="V1029" s="1175"/>
      <c r="W1029" s="1175"/>
      <c r="X1029" s="1175"/>
      <c r="Y1029" s="1175"/>
      <c r="Z1029" s="1175"/>
      <c r="AA1029" s="1176"/>
      <c r="AB1029" s="1176"/>
      <c r="AC1029" s="1176"/>
    </row>
    <row r="1030" spans="16:29">
      <c r="P1030" s="1175"/>
      <c r="Q1030" s="1175"/>
      <c r="R1030" s="1175"/>
      <c r="S1030" s="1175"/>
      <c r="T1030" s="1175"/>
      <c r="U1030" s="1175"/>
      <c r="V1030" s="1175"/>
      <c r="W1030" s="1175"/>
      <c r="X1030" s="1175"/>
      <c r="Y1030" s="1175"/>
      <c r="Z1030" s="1175"/>
      <c r="AA1030" s="1176"/>
      <c r="AB1030" s="1176"/>
      <c r="AC1030" s="1176"/>
    </row>
    <row r="1031" spans="16:29">
      <c r="P1031" s="1175"/>
      <c r="Q1031" s="1175"/>
      <c r="R1031" s="1175"/>
      <c r="S1031" s="1175"/>
      <c r="T1031" s="1175"/>
      <c r="U1031" s="1175"/>
      <c r="V1031" s="1175"/>
      <c r="W1031" s="1175"/>
      <c r="X1031" s="1175"/>
      <c r="Y1031" s="1175"/>
      <c r="Z1031" s="1175"/>
      <c r="AA1031" s="1176"/>
      <c r="AB1031" s="1176"/>
      <c r="AC1031" s="1176"/>
    </row>
    <row r="1032" spans="16:29">
      <c r="P1032" s="1175"/>
      <c r="Q1032" s="1175"/>
      <c r="R1032" s="1175"/>
      <c r="S1032" s="1175"/>
      <c r="T1032" s="1175"/>
      <c r="U1032" s="1175"/>
      <c r="V1032" s="1175"/>
      <c r="W1032" s="1175"/>
      <c r="X1032" s="1175"/>
      <c r="Y1032" s="1175"/>
      <c r="Z1032" s="1175"/>
      <c r="AA1032" s="1176"/>
      <c r="AB1032" s="1176"/>
      <c r="AC1032" s="1176"/>
    </row>
    <row r="1033" spans="16:29">
      <c r="P1033" s="1175"/>
      <c r="Q1033" s="1175"/>
      <c r="R1033" s="1175"/>
      <c r="S1033" s="1175"/>
      <c r="T1033" s="1175"/>
      <c r="U1033" s="1175"/>
      <c r="V1033" s="1175"/>
      <c r="W1033" s="1175"/>
      <c r="X1033" s="1175"/>
      <c r="Y1033" s="1175"/>
      <c r="Z1033" s="1175"/>
      <c r="AA1033" s="1176"/>
      <c r="AB1033" s="1176"/>
      <c r="AC1033" s="1176"/>
    </row>
    <row r="1034" spans="16:29">
      <c r="P1034" s="1175"/>
      <c r="Q1034" s="1175"/>
      <c r="R1034" s="1175"/>
      <c r="S1034" s="1175"/>
      <c r="T1034" s="1175"/>
      <c r="U1034" s="1175"/>
      <c r="V1034" s="1175"/>
      <c r="W1034" s="1175"/>
      <c r="X1034" s="1175"/>
      <c r="Y1034" s="1175"/>
      <c r="Z1034" s="1175"/>
      <c r="AA1034" s="1176"/>
      <c r="AB1034" s="1176"/>
      <c r="AC1034" s="1176"/>
    </row>
    <row r="1035" spans="16:29">
      <c r="P1035" s="1175"/>
      <c r="Q1035" s="1175"/>
      <c r="R1035" s="1175"/>
      <c r="S1035" s="1175"/>
      <c r="T1035" s="1175"/>
      <c r="U1035" s="1175"/>
      <c r="V1035" s="1175"/>
      <c r="W1035" s="1175"/>
      <c r="X1035" s="1175"/>
      <c r="Y1035" s="1175"/>
      <c r="Z1035" s="1175"/>
      <c r="AA1035" s="1176"/>
      <c r="AB1035" s="1176"/>
      <c r="AC1035" s="1176"/>
    </row>
    <row r="1036" spans="16:29">
      <c r="P1036" s="1175"/>
      <c r="Q1036" s="1175"/>
      <c r="R1036" s="1175"/>
      <c r="S1036" s="1175"/>
      <c r="T1036" s="1175"/>
      <c r="U1036" s="1175"/>
      <c r="V1036" s="1175"/>
      <c r="W1036" s="1175"/>
      <c r="X1036" s="1175"/>
      <c r="Y1036" s="1175"/>
      <c r="Z1036" s="1175"/>
      <c r="AA1036" s="1176"/>
      <c r="AB1036" s="1176"/>
      <c r="AC1036" s="1176"/>
    </row>
    <row r="1037" spans="16:29">
      <c r="P1037" s="1175"/>
      <c r="Q1037" s="1175"/>
      <c r="R1037" s="1175"/>
      <c r="S1037" s="1175"/>
      <c r="T1037" s="1175"/>
      <c r="U1037" s="1175"/>
      <c r="V1037" s="1175"/>
      <c r="W1037" s="1175"/>
      <c r="X1037" s="1175"/>
      <c r="Y1037" s="1175"/>
      <c r="Z1037" s="1175"/>
      <c r="AA1037" s="1176"/>
      <c r="AB1037" s="1176"/>
      <c r="AC1037" s="1175"/>
    </row>
    <row r="1038" spans="16:29">
      <c r="P1038" s="1175"/>
      <c r="Q1038" s="1175"/>
      <c r="R1038" s="1175"/>
      <c r="S1038" s="1175"/>
      <c r="T1038" s="1175"/>
      <c r="U1038" s="1175"/>
      <c r="V1038" s="1175"/>
      <c r="W1038" s="1175"/>
      <c r="X1038" s="1175"/>
      <c r="Y1038" s="1175"/>
      <c r="Z1038" s="1175"/>
      <c r="AA1038" s="1176"/>
      <c r="AB1038" s="1176"/>
      <c r="AC1038" s="1175"/>
    </row>
    <row r="1039" spans="16:29">
      <c r="P1039" s="1175"/>
      <c r="Q1039" s="1175"/>
      <c r="R1039" s="1175"/>
      <c r="S1039" s="1175"/>
      <c r="T1039" s="1175"/>
      <c r="U1039" s="1175"/>
      <c r="V1039" s="1175"/>
      <c r="W1039" s="1175"/>
      <c r="X1039" s="1175"/>
      <c r="Y1039" s="1175"/>
      <c r="Z1039" s="1175"/>
      <c r="AA1039" s="1176"/>
      <c r="AB1039" s="1176"/>
      <c r="AC1039" s="1176"/>
    </row>
    <row r="1040" spans="16:29">
      <c r="P1040" s="1175"/>
      <c r="Q1040" s="1175"/>
      <c r="R1040" s="1175"/>
      <c r="S1040" s="1175"/>
      <c r="T1040" s="1175"/>
      <c r="U1040" s="1175"/>
      <c r="V1040" s="1175"/>
      <c r="W1040" s="1175"/>
      <c r="X1040" s="1175"/>
      <c r="Y1040" s="1175"/>
      <c r="Z1040" s="1175"/>
      <c r="AA1040" s="1176"/>
      <c r="AB1040" s="1176"/>
      <c r="AC1040" s="1176"/>
    </row>
    <row r="1041" spans="16:29">
      <c r="P1041" s="1175"/>
      <c r="Q1041" s="1175"/>
      <c r="R1041" s="1175"/>
      <c r="S1041" s="1175"/>
      <c r="T1041" s="1175"/>
      <c r="U1041" s="1175"/>
      <c r="V1041" s="1175"/>
      <c r="W1041" s="1175"/>
      <c r="X1041" s="1175"/>
      <c r="Y1041" s="1175"/>
      <c r="Z1041" s="1175"/>
      <c r="AA1041" s="1176"/>
      <c r="AB1041" s="1176"/>
      <c r="AC1041" s="1176"/>
    </row>
    <row r="1042" spans="16:29">
      <c r="P1042" s="1175"/>
      <c r="Q1042" s="1175"/>
      <c r="R1042" s="1175"/>
      <c r="S1042" s="1175"/>
      <c r="T1042" s="1175"/>
      <c r="U1042" s="1175"/>
      <c r="V1042" s="1175"/>
      <c r="W1042" s="1175"/>
      <c r="X1042" s="1175"/>
      <c r="Y1042" s="1175"/>
      <c r="Z1042" s="1175"/>
      <c r="AA1042" s="1176"/>
      <c r="AB1042" s="1176"/>
      <c r="AC1042" s="1176"/>
    </row>
    <row r="1043" spans="16:29">
      <c r="P1043" s="1175"/>
      <c r="Q1043" s="1175"/>
      <c r="R1043" s="1175"/>
      <c r="S1043" s="1175"/>
      <c r="T1043" s="1175"/>
      <c r="U1043" s="1175"/>
      <c r="V1043" s="1175"/>
      <c r="W1043" s="1175"/>
      <c r="X1043" s="1175"/>
      <c r="Y1043" s="1175"/>
      <c r="Z1043" s="1175"/>
      <c r="AA1043" s="1176"/>
      <c r="AB1043" s="1176"/>
      <c r="AC1043" s="1176"/>
    </row>
    <row r="1044" spans="16:29">
      <c r="P1044" s="1175"/>
      <c r="Q1044" s="1175"/>
      <c r="R1044" s="1175"/>
      <c r="S1044" s="1175"/>
      <c r="T1044" s="1175"/>
      <c r="U1044" s="1175"/>
      <c r="V1044" s="1175"/>
      <c r="W1044" s="1175"/>
      <c r="X1044" s="1175"/>
      <c r="Y1044" s="1175"/>
      <c r="Z1044" s="1175"/>
      <c r="AA1044" s="1176"/>
      <c r="AB1044" s="1176"/>
      <c r="AC1044" s="1176"/>
    </row>
    <row r="1045" spans="16:29">
      <c r="P1045" s="1175"/>
      <c r="Q1045" s="1175"/>
      <c r="R1045" s="1175"/>
      <c r="S1045" s="1175"/>
      <c r="T1045" s="1175"/>
      <c r="U1045" s="1175"/>
      <c r="V1045" s="1175"/>
      <c r="W1045" s="1175"/>
      <c r="X1045" s="1175"/>
      <c r="Y1045" s="1175"/>
      <c r="Z1045" s="1175"/>
      <c r="AA1045" s="1176"/>
      <c r="AB1045" s="1176"/>
      <c r="AC1045" s="1176"/>
    </row>
    <row r="1046" spans="16:29">
      <c r="P1046" s="1175"/>
      <c r="Q1046" s="1175"/>
      <c r="R1046" s="1175"/>
      <c r="S1046" s="1175"/>
      <c r="T1046" s="1175"/>
      <c r="U1046" s="1175"/>
      <c r="V1046" s="1175"/>
      <c r="W1046" s="1175"/>
      <c r="X1046" s="1175"/>
      <c r="Y1046" s="1175"/>
      <c r="Z1046" s="1175"/>
      <c r="AA1046" s="1176"/>
      <c r="AB1046" s="1176"/>
      <c r="AC1046" s="1176"/>
    </row>
    <row r="1047" spans="16:29">
      <c r="P1047" s="1175"/>
      <c r="Q1047" s="1175"/>
      <c r="R1047" s="1175"/>
      <c r="S1047" s="1175"/>
      <c r="T1047" s="1175"/>
      <c r="U1047" s="1175"/>
      <c r="V1047" s="1175"/>
      <c r="W1047" s="1175"/>
      <c r="X1047" s="1175"/>
      <c r="Y1047" s="1175"/>
      <c r="Z1047" s="1175"/>
      <c r="AA1047" s="1176"/>
      <c r="AB1047" s="1176"/>
      <c r="AC1047" s="1176"/>
    </row>
    <row r="1048" spans="16:29">
      <c r="P1048" s="1175"/>
      <c r="Q1048" s="1175"/>
      <c r="R1048" s="1175"/>
      <c r="S1048" s="1175"/>
      <c r="T1048" s="1175"/>
      <c r="U1048" s="1175"/>
      <c r="V1048" s="1175"/>
      <c r="W1048" s="1175"/>
      <c r="X1048" s="1175"/>
      <c r="Y1048" s="1175"/>
      <c r="Z1048" s="1175"/>
      <c r="AA1048" s="1176"/>
      <c r="AB1048" s="1176"/>
      <c r="AC1048" s="1176"/>
    </row>
    <row r="1049" spans="16:29">
      <c r="P1049" s="1175"/>
      <c r="Q1049" s="1175"/>
      <c r="R1049" s="1175"/>
      <c r="S1049" s="1175"/>
      <c r="T1049" s="1175"/>
      <c r="U1049" s="1175"/>
      <c r="V1049" s="1175"/>
      <c r="W1049" s="1175"/>
      <c r="X1049" s="1175"/>
      <c r="Y1049" s="1175"/>
      <c r="Z1049" s="1175"/>
      <c r="AA1049" s="1176"/>
      <c r="AB1049" s="1176"/>
      <c r="AC1049" s="1176"/>
    </row>
    <row r="1050" spans="16:29">
      <c r="P1050" s="1175"/>
      <c r="Q1050" s="1175"/>
      <c r="R1050" s="1175"/>
      <c r="S1050" s="1175"/>
      <c r="T1050" s="1175"/>
      <c r="U1050" s="1175"/>
      <c r="V1050" s="1175"/>
      <c r="W1050" s="1175"/>
      <c r="X1050" s="1175"/>
      <c r="Y1050" s="1175"/>
      <c r="Z1050" s="1175"/>
      <c r="AA1050" s="1176"/>
      <c r="AB1050" s="1176"/>
      <c r="AC1050" s="1176"/>
    </row>
    <row r="1051" spans="16:29">
      <c r="P1051" s="1175"/>
      <c r="Q1051" s="1175"/>
      <c r="R1051" s="1175"/>
      <c r="S1051" s="1175"/>
      <c r="T1051" s="1175"/>
      <c r="U1051" s="1175"/>
      <c r="V1051" s="1175"/>
      <c r="W1051" s="1175"/>
      <c r="X1051" s="1175"/>
      <c r="Y1051" s="1175"/>
      <c r="Z1051" s="1175"/>
      <c r="AA1051" s="1176"/>
      <c r="AB1051" s="1176"/>
      <c r="AC1051" s="1176"/>
    </row>
    <row r="1052" spans="16:29">
      <c r="P1052" s="1175"/>
      <c r="Q1052" s="1175"/>
      <c r="R1052" s="1175"/>
      <c r="S1052" s="1175"/>
      <c r="T1052" s="1175"/>
      <c r="U1052" s="1175"/>
      <c r="V1052" s="1175"/>
      <c r="W1052" s="1175"/>
      <c r="X1052" s="1175"/>
      <c r="Y1052" s="1175"/>
      <c r="Z1052" s="1175"/>
      <c r="AA1052" s="1176"/>
      <c r="AB1052" s="1176"/>
      <c r="AC1052" s="1176"/>
    </row>
    <row r="1053" spans="16:29">
      <c r="P1053" s="1175"/>
      <c r="Q1053" s="1175"/>
      <c r="R1053" s="1175"/>
      <c r="S1053" s="1175"/>
      <c r="T1053" s="1175"/>
      <c r="U1053" s="1175"/>
      <c r="V1053" s="1175"/>
      <c r="W1053" s="1175"/>
      <c r="X1053" s="1175"/>
      <c r="Y1053" s="1175"/>
      <c r="Z1053" s="1175"/>
      <c r="AA1053" s="1176"/>
      <c r="AB1053" s="1176"/>
      <c r="AC1053" s="1176"/>
    </row>
    <row r="1054" spans="16:29">
      <c r="P1054" s="1175"/>
      <c r="Q1054" s="1175"/>
      <c r="R1054" s="1175"/>
      <c r="S1054" s="1175"/>
      <c r="T1054" s="1175"/>
      <c r="U1054" s="1175"/>
      <c r="V1054" s="1175"/>
      <c r="W1054" s="1175"/>
      <c r="X1054" s="1175"/>
      <c r="Y1054" s="1175"/>
      <c r="Z1054" s="1175"/>
      <c r="AA1054" s="1176"/>
      <c r="AB1054" s="1176"/>
      <c r="AC1054" s="1176"/>
    </row>
    <row r="1055" spans="16:29">
      <c r="P1055" s="1175"/>
      <c r="Q1055" s="1175"/>
      <c r="R1055" s="1175"/>
      <c r="S1055" s="1175"/>
      <c r="T1055" s="1175"/>
      <c r="U1055" s="1175"/>
      <c r="V1055" s="1175"/>
      <c r="W1055" s="1175"/>
      <c r="X1055" s="1175"/>
      <c r="Y1055" s="1175"/>
      <c r="Z1055" s="1175"/>
      <c r="AA1055" s="1176"/>
      <c r="AB1055" s="1176"/>
      <c r="AC1055" s="1176"/>
    </row>
    <row r="1056" spans="16:29">
      <c r="P1056" s="1175"/>
      <c r="Q1056" s="1175"/>
      <c r="R1056" s="1175"/>
      <c r="S1056" s="1175"/>
      <c r="T1056" s="1175"/>
      <c r="U1056" s="1175"/>
      <c r="V1056" s="1175"/>
      <c r="W1056" s="1175"/>
      <c r="X1056" s="1175"/>
      <c r="Y1056" s="1175"/>
      <c r="Z1056" s="1175"/>
      <c r="AA1056" s="1176"/>
      <c r="AB1056" s="1176"/>
      <c r="AC1056" s="1176"/>
    </row>
    <row r="1057" spans="16:29">
      <c r="P1057" s="1175"/>
      <c r="Q1057" s="1175"/>
      <c r="R1057" s="1175"/>
      <c r="S1057" s="1175"/>
      <c r="T1057" s="1175"/>
      <c r="U1057" s="1175"/>
      <c r="V1057" s="1175"/>
      <c r="W1057" s="1175"/>
      <c r="X1057" s="1175"/>
      <c r="Y1057" s="1175"/>
      <c r="Z1057" s="1175"/>
      <c r="AA1057" s="1176"/>
      <c r="AB1057" s="1176"/>
      <c r="AC1057" s="1176"/>
    </row>
    <row r="1058" spans="16:29">
      <c r="P1058" s="1175"/>
      <c r="Q1058" s="1175"/>
      <c r="R1058" s="1175"/>
      <c r="S1058" s="1175"/>
      <c r="T1058" s="1175"/>
      <c r="U1058" s="1175"/>
      <c r="V1058" s="1175"/>
      <c r="W1058" s="1175"/>
      <c r="X1058" s="1175"/>
      <c r="Y1058" s="1175"/>
      <c r="Z1058" s="1175"/>
      <c r="AA1058" s="1176"/>
      <c r="AB1058" s="1176"/>
      <c r="AC1058" s="1176"/>
    </row>
    <row r="1059" spans="16:29">
      <c r="P1059" s="1175"/>
      <c r="Q1059" s="1175"/>
      <c r="R1059" s="1175"/>
      <c r="S1059" s="1175"/>
      <c r="T1059" s="1175"/>
      <c r="U1059" s="1175"/>
      <c r="V1059" s="1175"/>
      <c r="W1059" s="1175"/>
      <c r="X1059" s="1175"/>
      <c r="Y1059" s="1175"/>
      <c r="Z1059" s="1175"/>
      <c r="AA1059" s="1176"/>
      <c r="AB1059" s="1176"/>
      <c r="AC1059" s="1176"/>
    </row>
    <row r="1060" spans="16:29">
      <c r="P1060" s="1175"/>
      <c r="Q1060" s="1175"/>
      <c r="R1060" s="1175"/>
      <c r="S1060" s="1175"/>
      <c r="T1060" s="1175"/>
      <c r="U1060" s="1175"/>
      <c r="V1060" s="1175"/>
      <c r="W1060" s="1175"/>
      <c r="X1060" s="1175"/>
      <c r="Y1060" s="1175"/>
      <c r="Z1060" s="1175"/>
      <c r="AA1060" s="1176"/>
      <c r="AB1060" s="1176"/>
      <c r="AC1060" s="1176"/>
    </row>
    <row r="1061" spans="16:29">
      <c r="P1061" s="1175"/>
      <c r="Q1061" s="1175"/>
      <c r="R1061" s="1175"/>
      <c r="S1061" s="1175"/>
      <c r="T1061" s="1175"/>
      <c r="U1061" s="1175"/>
      <c r="V1061" s="1175"/>
      <c r="W1061" s="1175"/>
      <c r="X1061" s="1175"/>
      <c r="Y1061" s="1175"/>
      <c r="Z1061" s="1175"/>
      <c r="AA1061" s="1176"/>
      <c r="AB1061" s="1176"/>
      <c r="AC1061" s="1176"/>
    </row>
    <row r="1062" spans="16:29">
      <c r="P1062" s="1175"/>
      <c r="Q1062" s="1175"/>
      <c r="R1062" s="1175"/>
      <c r="S1062" s="1175"/>
      <c r="T1062" s="1175"/>
      <c r="U1062" s="1175"/>
      <c r="V1062" s="1175"/>
      <c r="W1062" s="1175"/>
      <c r="X1062" s="1175"/>
      <c r="Y1062" s="1175"/>
      <c r="Z1062" s="1175"/>
      <c r="AA1062" s="1176"/>
      <c r="AB1062" s="1176"/>
      <c r="AC1062" s="1176"/>
    </row>
    <row r="1063" spans="16:29">
      <c r="P1063" s="1175"/>
      <c r="Q1063" s="1175"/>
      <c r="R1063" s="1175"/>
      <c r="S1063" s="1175"/>
      <c r="T1063" s="1175"/>
      <c r="U1063" s="1175"/>
      <c r="V1063" s="1175"/>
      <c r="W1063" s="1175"/>
      <c r="X1063" s="1175"/>
      <c r="Y1063" s="1175"/>
      <c r="Z1063" s="1175"/>
      <c r="AA1063" s="1176"/>
      <c r="AB1063" s="1176"/>
      <c r="AC1063" s="1176"/>
    </row>
    <row r="1064" spans="16:29">
      <c r="P1064" s="1175"/>
      <c r="Q1064" s="1175"/>
      <c r="R1064" s="1175"/>
      <c r="S1064" s="1175"/>
      <c r="T1064" s="1175"/>
      <c r="U1064" s="1175"/>
      <c r="V1064" s="1175"/>
      <c r="W1064" s="1175"/>
      <c r="X1064" s="1175"/>
      <c r="Y1064" s="1175"/>
      <c r="Z1064" s="1175"/>
      <c r="AA1064" s="1176"/>
      <c r="AB1064" s="1176"/>
      <c r="AC1064" s="1176"/>
    </row>
    <row r="1065" spans="16:29">
      <c r="P1065" s="1175"/>
      <c r="Q1065" s="1175"/>
      <c r="R1065" s="1175"/>
      <c r="S1065" s="1175"/>
      <c r="T1065" s="1175"/>
      <c r="U1065" s="1175"/>
      <c r="V1065" s="1175"/>
      <c r="W1065" s="1175"/>
      <c r="X1065" s="1175"/>
      <c r="Y1065" s="1175"/>
      <c r="Z1065" s="1175"/>
      <c r="AA1065" s="1176"/>
      <c r="AB1065" s="1176"/>
      <c r="AC1065" s="1176"/>
    </row>
    <row r="1066" spans="16:29">
      <c r="P1066" s="1175"/>
      <c r="Q1066" s="1175"/>
      <c r="R1066" s="1175"/>
      <c r="S1066" s="1175"/>
      <c r="T1066" s="1175"/>
      <c r="U1066" s="1175"/>
      <c r="V1066" s="1175"/>
      <c r="W1066" s="1175"/>
      <c r="X1066" s="1175"/>
      <c r="Y1066" s="1175"/>
      <c r="Z1066" s="1175"/>
      <c r="AA1066" s="1176"/>
      <c r="AB1066" s="1176"/>
      <c r="AC1066" s="1176"/>
    </row>
    <row r="1067" spans="16:29">
      <c r="P1067" s="1175"/>
      <c r="Q1067" s="1175"/>
      <c r="R1067" s="1175"/>
      <c r="S1067" s="1175"/>
      <c r="T1067" s="1175"/>
      <c r="U1067" s="1175"/>
      <c r="V1067" s="1175"/>
      <c r="W1067" s="1175"/>
      <c r="X1067" s="1175"/>
      <c r="Y1067" s="1175"/>
      <c r="Z1067" s="1175"/>
      <c r="AA1067" s="1176"/>
      <c r="AB1067" s="1176"/>
      <c r="AC1067" s="1176"/>
    </row>
    <row r="1068" spans="16:29">
      <c r="P1068" s="1175"/>
      <c r="Q1068" s="1175"/>
      <c r="R1068" s="1175"/>
      <c r="S1068" s="1175"/>
      <c r="T1068" s="1175"/>
      <c r="U1068" s="1175"/>
      <c r="V1068" s="1175"/>
      <c r="W1068" s="1175"/>
      <c r="X1068" s="1175"/>
      <c r="Y1068" s="1175"/>
      <c r="Z1068" s="1175"/>
      <c r="AA1068" s="1176"/>
      <c r="AB1068" s="1176"/>
      <c r="AC1068" s="1176"/>
    </row>
    <row r="1069" spans="16:29">
      <c r="P1069" s="1175"/>
      <c r="Q1069" s="1175"/>
      <c r="R1069" s="1175"/>
      <c r="S1069" s="1175"/>
      <c r="T1069" s="1175"/>
      <c r="U1069" s="1175"/>
      <c r="V1069" s="1175"/>
      <c r="W1069" s="1175"/>
      <c r="X1069" s="1175"/>
      <c r="Y1069" s="1175"/>
      <c r="Z1069" s="1175"/>
      <c r="AA1069" s="1176"/>
      <c r="AB1069" s="1176"/>
      <c r="AC1069" s="1176"/>
    </row>
    <row r="1070" spans="16:29">
      <c r="P1070" s="1175"/>
      <c r="Q1070" s="1175"/>
      <c r="R1070" s="1175"/>
      <c r="S1070" s="1175"/>
      <c r="T1070" s="1175"/>
      <c r="U1070" s="1175"/>
      <c r="V1070" s="1175"/>
      <c r="W1070" s="1175"/>
      <c r="X1070" s="1175"/>
      <c r="Y1070" s="1175"/>
      <c r="Z1070" s="1175"/>
      <c r="AA1070" s="1176"/>
      <c r="AB1070" s="1176"/>
      <c r="AC1070" s="1176"/>
    </row>
    <row r="1071" spans="16:29">
      <c r="P1071" s="1175"/>
      <c r="Q1071" s="1175"/>
      <c r="R1071" s="1175"/>
      <c r="S1071" s="1175"/>
      <c r="T1071" s="1175"/>
      <c r="U1071" s="1175"/>
      <c r="V1071" s="1175"/>
      <c r="W1071" s="1175"/>
      <c r="X1071" s="1175"/>
      <c r="Y1071" s="1175"/>
      <c r="Z1071" s="1175"/>
      <c r="AA1071" s="1176"/>
      <c r="AB1071" s="1176"/>
      <c r="AC1071" s="1176"/>
    </row>
    <row r="1072" spans="16:29">
      <c r="P1072" s="1175"/>
      <c r="Q1072" s="1175"/>
      <c r="R1072" s="1175"/>
      <c r="S1072" s="1175"/>
      <c r="T1072" s="1175"/>
      <c r="U1072" s="1175"/>
      <c r="V1072" s="1175"/>
      <c r="W1072" s="1175"/>
      <c r="X1072" s="1175"/>
      <c r="Y1072" s="1175"/>
      <c r="Z1072" s="1175"/>
      <c r="AA1072" s="1176"/>
      <c r="AB1072" s="1176"/>
      <c r="AC1072" s="1176"/>
    </row>
    <row r="1073" spans="16:29">
      <c r="P1073" s="1175"/>
      <c r="Q1073" s="1175"/>
      <c r="R1073" s="1175"/>
      <c r="S1073" s="1175"/>
      <c r="T1073" s="1175"/>
      <c r="U1073" s="1175"/>
      <c r="V1073" s="1175"/>
      <c r="W1073" s="1175"/>
      <c r="X1073" s="1175"/>
      <c r="Y1073" s="1175"/>
      <c r="Z1073" s="1175"/>
      <c r="AA1073" s="1176"/>
      <c r="AB1073" s="1176"/>
      <c r="AC1073" s="1176"/>
    </row>
    <row r="1074" spans="16:29">
      <c r="P1074" s="1175"/>
      <c r="Q1074" s="1175"/>
      <c r="R1074" s="1175"/>
      <c r="S1074" s="1175"/>
      <c r="T1074" s="1175"/>
      <c r="U1074" s="1175"/>
      <c r="V1074" s="1175"/>
      <c r="W1074" s="1175"/>
      <c r="X1074" s="1175"/>
      <c r="Y1074" s="1175"/>
      <c r="Z1074" s="1175"/>
      <c r="AA1074" s="1176"/>
      <c r="AB1074" s="1176"/>
      <c r="AC1074" s="1176"/>
    </row>
    <row r="1075" spans="16:29">
      <c r="P1075" s="1175"/>
      <c r="Q1075" s="1175"/>
      <c r="R1075" s="1175"/>
      <c r="S1075" s="1175"/>
      <c r="T1075" s="1175"/>
      <c r="U1075" s="1175"/>
      <c r="V1075" s="1175"/>
      <c r="W1075" s="1175"/>
      <c r="X1075" s="1175"/>
      <c r="Y1075" s="1175"/>
      <c r="Z1075" s="1175"/>
      <c r="AA1075" s="1176"/>
      <c r="AB1075" s="1176"/>
      <c r="AC1075" s="1176"/>
    </row>
    <row r="1076" spans="16:29">
      <c r="P1076" s="1175"/>
      <c r="Q1076" s="1175"/>
      <c r="R1076" s="1175"/>
      <c r="S1076" s="1175"/>
      <c r="T1076" s="1175"/>
      <c r="U1076" s="1175"/>
      <c r="V1076" s="1175"/>
      <c r="W1076" s="1175"/>
      <c r="X1076" s="1175"/>
      <c r="Y1076" s="1175"/>
      <c r="Z1076" s="1175"/>
      <c r="AA1076" s="1176"/>
      <c r="AB1076" s="1176"/>
      <c r="AC1076" s="1176"/>
    </row>
    <row r="1077" spans="16:29">
      <c r="P1077" s="1175"/>
      <c r="Q1077" s="1175"/>
      <c r="R1077" s="1175"/>
      <c r="S1077" s="1175"/>
      <c r="T1077" s="1175"/>
      <c r="U1077" s="1175"/>
      <c r="V1077" s="1175"/>
      <c r="W1077" s="1175"/>
      <c r="X1077" s="1175"/>
      <c r="Y1077" s="1175"/>
      <c r="Z1077" s="1175"/>
      <c r="AA1077" s="1176"/>
      <c r="AB1077" s="1176"/>
      <c r="AC1077" s="1176"/>
    </row>
    <row r="1078" spans="16:29">
      <c r="P1078" s="1175"/>
      <c r="Q1078" s="1175"/>
      <c r="R1078" s="1175"/>
      <c r="S1078" s="1175"/>
      <c r="T1078" s="1175"/>
      <c r="U1078" s="1175"/>
      <c r="V1078" s="1175"/>
      <c r="W1078" s="1175"/>
      <c r="X1078" s="1175"/>
      <c r="Y1078" s="1175"/>
      <c r="Z1078" s="1175"/>
      <c r="AA1078" s="1176"/>
      <c r="AB1078" s="1176"/>
      <c r="AC1078" s="1176"/>
    </row>
    <row r="1079" spans="16:29">
      <c r="P1079" s="1175"/>
      <c r="Q1079" s="1175"/>
      <c r="R1079" s="1175"/>
      <c r="S1079" s="1175"/>
      <c r="T1079" s="1175"/>
      <c r="U1079" s="1175"/>
      <c r="V1079" s="1175"/>
      <c r="W1079" s="1175"/>
      <c r="X1079" s="1175"/>
      <c r="Y1079" s="1175"/>
      <c r="Z1079" s="1175"/>
      <c r="AA1079" s="1176"/>
      <c r="AB1079" s="1176"/>
      <c r="AC1079" s="1176"/>
    </row>
    <row r="1080" spans="16:29">
      <c r="P1080" s="1175"/>
      <c r="Q1080" s="1175"/>
      <c r="R1080" s="1175"/>
      <c r="S1080" s="1175"/>
      <c r="T1080" s="1175"/>
      <c r="U1080" s="1175"/>
      <c r="V1080" s="1175"/>
      <c r="W1080" s="1175"/>
      <c r="X1080" s="1175"/>
      <c r="Y1080" s="1175"/>
      <c r="Z1080" s="1175"/>
      <c r="AA1080" s="1176"/>
      <c r="AB1080" s="1176"/>
      <c r="AC1080" s="1176"/>
    </row>
    <row r="1081" spans="16:29">
      <c r="P1081" s="1175"/>
      <c r="Q1081" s="1175"/>
      <c r="R1081" s="1175"/>
      <c r="S1081" s="1175"/>
      <c r="T1081" s="1175"/>
      <c r="U1081" s="1175"/>
      <c r="V1081" s="1175"/>
      <c r="W1081" s="1175"/>
      <c r="X1081" s="1175"/>
      <c r="Y1081" s="1175"/>
      <c r="Z1081" s="1175"/>
      <c r="AA1081" s="1176"/>
      <c r="AB1081" s="1176"/>
      <c r="AC1081" s="1176"/>
    </row>
    <row r="1082" spans="16:29">
      <c r="P1082" s="1175"/>
      <c r="Q1082" s="1175"/>
      <c r="R1082" s="1175"/>
      <c r="S1082" s="1175"/>
      <c r="T1082" s="1175"/>
      <c r="U1082" s="1175"/>
      <c r="V1082" s="1175"/>
      <c r="W1082" s="1175"/>
      <c r="X1082" s="1175"/>
      <c r="Y1082" s="1175"/>
      <c r="Z1082" s="1175"/>
      <c r="AA1082" s="1176"/>
      <c r="AB1082" s="1176"/>
      <c r="AC1082" s="1176"/>
    </row>
    <row r="1083" spans="16:29">
      <c r="P1083" s="1175"/>
      <c r="Q1083" s="1175"/>
      <c r="R1083" s="1175"/>
      <c r="S1083" s="1175"/>
      <c r="T1083" s="1175"/>
      <c r="U1083" s="1175"/>
      <c r="V1083" s="1175"/>
      <c r="W1083" s="1175"/>
      <c r="X1083" s="1175"/>
      <c r="Y1083" s="1175"/>
      <c r="Z1083" s="1175"/>
      <c r="AA1083" s="1176"/>
      <c r="AB1083" s="1176"/>
      <c r="AC1083" s="1176"/>
    </row>
    <row r="1084" spans="16:29">
      <c r="P1084" s="1175"/>
      <c r="Q1084" s="1175"/>
      <c r="R1084" s="1175"/>
      <c r="S1084" s="1175"/>
      <c r="T1084" s="1175"/>
      <c r="U1084" s="1175"/>
      <c r="V1084" s="1175"/>
      <c r="W1084" s="1175"/>
      <c r="X1084" s="1175"/>
      <c r="Y1084" s="1175"/>
      <c r="Z1084" s="1175"/>
      <c r="AA1084" s="1176"/>
      <c r="AB1084" s="1176"/>
      <c r="AC1084" s="1176"/>
    </row>
    <row r="1085" spans="16:29">
      <c r="P1085" s="1175"/>
      <c r="Q1085" s="1175"/>
      <c r="R1085" s="1175"/>
      <c r="S1085" s="1175"/>
      <c r="T1085" s="1175"/>
      <c r="U1085" s="1175"/>
      <c r="V1085" s="1175"/>
      <c r="W1085" s="1175"/>
      <c r="X1085" s="1175"/>
      <c r="Y1085" s="1175"/>
      <c r="Z1085" s="1175"/>
      <c r="AA1085" s="1176"/>
      <c r="AB1085" s="1176"/>
      <c r="AC1085" s="1176"/>
    </row>
    <row r="1086" spans="16:29">
      <c r="P1086" s="1175"/>
      <c r="Q1086" s="1175"/>
      <c r="R1086" s="1175"/>
      <c r="S1086" s="1175"/>
      <c r="T1086" s="1175"/>
      <c r="U1086" s="1175"/>
      <c r="V1086" s="1175"/>
      <c r="W1086" s="1175"/>
      <c r="X1086" s="1175"/>
      <c r="Y1086" s="1175"/>
      <c r="Z1086" s="1175"/>
      <c r="AA1086" s="1176"/>
      <c r="AB1086" s="1176"/>
      <c r="AC1086" s="1176"/>
    </row>
    <row r="1087" spans="16:29">
      <c r="P1087" s="1175"/>
      <c r="Q1087" s="1175"/>
      <c r="R1087" s="1175"/>
      <c r="S1087" s="1175"/>
      <c r="T1087" s="1175"/>
      <c r="U1087" s="1175"/>
      <c r="V1087" s="1175"/>
      <c r="W1087" s="1175"/>
      <c r="X1087" s="1175"/>
      <c r="Y1087" s="1175"/>
      <c r="Z1087" s="1175"/>
      <c r="AA1087" s="1176"/>
      <c r="AB1087" s="1176"/>
      <c r="AC1087" s="1176"/>
    </row>
    <row r="1088" spans="16:29">
      <c r="P1088" s="1175"/>
      <c r="Q1088" s="1175"/>
      <c r="R1088" s="1175"/>
      <c r="S1088" s="1175"/>
      <c r="T1088" s="1175"/>
      <c r="U1088" s="1175"/>
      <c r="V1088" s="1175"/>
      <c r="W1088" s="1175"/>
      <c r="X1088" s="1175"/>
      <c r="Y1088" s="1175"/>
      <c r="Z1088" s="1175"/>
      <c r="AA1088" s="1176"/>
      <c r="AB1088" s="1176"/>
      <c r="AC1088" s="1176"/>
    </row>
    <row r="1089" spans="16:29">
      <c r="P1089" s="1175"/>
      <c r="Q1089" s="1175"/>
      <c r="R1089" s="1175"/>
      <c r="S1089" s="1175"/>
      <c r="T1089" s="1175"/>
      <c r="U1089" s="1175"/>
      <c r="V1089" s="1175"/>
      <c r="W1089" s="1175"/>
      <c r="X1089" s="1175"/>
      <c r="Y1089" s="1175"/>
      <c r="Z1089" s="1175"/>
      <c r="AA1089" s="1176"/>
      <c r="AB1089" s="1176"/>
      <c r="AC1089" s="1176"/>
    </row>
    <row r="1090" spans="16:29">
      <c r="P1090" s="1175"/>
      <c r="Q1090" s="1175"/>
      <c r="R1090" s="1175"/>
      <c r="S1090" s="1175"/>
      <c r="T1090" s="1175"/>
      <c r="U1090" s="1175"/>
      <c r="V1090" s="1175"/>
      <c r="W1090" s="1175"/>
      <c r="X1090" s="1175"/>
      <c r="Y1090" s="1175"/>
      <c r="Z1090" s="1175"/>
      <c r="AA1090" s="1176"/>
      <c r="AB1090" s="1176"/>
      <c r="AC1090" s="1176"/>
    </row>
    <row r="1091" spans="16:29">
      <c r="P1091" s="1175"/>
      <c r="Q1091" s="1175"/>
      <c r="R1091" s="1175"/>
      <c r="S1091" s="1175"/>
      <c r="T1091" s="1175"/>
      <c r="U1091" s="1175"/>
      <c r="V1091" s="1175"/>
      <c r="W1091" s="1175"/>
      <c r="X1091" s="1175"/>
      <c r="Y1091" s="1175"/>
      <c r="Z1091" s="1175"/>
      <c r="AA1091" s="1176"/>
      <c r="AB1091" s="1176"/>
      <c r="AC1091" s="1176"/>
    </row>
    <row r="1092" spans="16:29">
      <c r="P1092" s="1175"/>
      <c r="Q1092" s="1175"/>
      <c r="R1092" s="1175"/>
      <c r="S1092" s="1175"/>
      <c r="T1092" s="1175"/>
      <c r="U1092" s="1175"/>
      <c r="V1092" s="1175"/>
      <c r="W1092" s="1175"/>
      <c r="X1092" s="1175"/>
      <c r="Y1092" s="1175"/>
      <c r="Z1092" s="1175"/>
      <c r="AA1092" s="1176"/>
      <c r="AB1092" s="1176"/>
      <c r="AC1092" s="1176"/>
    </row>
    <row r="1093" spans="16:29">
      <c r="P1093" s="1175"/>
      <c r="Q1093" s="1175"/>
      <c r="R1093" s="1175"/>
      <c r="S1093" s="1175"/>
      <c r="T1093" s="1175"/>
      <c r="U1093" s="1175"/>
      <c r="V1093" s="1175"/>
      <c r="W1093" s="1175"/>
      <c r="X1093" s="1175"/>
      <c r="Y1093" s="1175"/>
      <c r="Z1093" s="1175"/>
      <c r="AA1093" s="1176"/>
      <c r="AB1093" s="1176"/>
      <c r="AC1093" s="1176"/>
    </row>
    <row r="1094" spans="16:29">
      <c r="P1094" s="1175"/>
      <c r="Q1094" s="1175"/>
      <c r="R1094" s="1175"/>
      <c r="S1094" s="1175"/>
      <c r="T1094" s="1175"/>
      <c r="U1094" s="1175"/>
      <c r="V1094" s="1175"/>
      <c r="W1094" s="1175"/>
      <c r="X1094" s="1175"/>
      <c r="Y1094" s="1175"/>
      <c r="Z1094" s="1175"/>
      <c r="AA1094" s="1176"/>
      <c r="AB1094" s="1176"/>
      <c r="AC1094" s="1176"/>
    </row>
    <row r="1095" spans="16:29">
      <c r="P1095" s="1175"/>
      <c r="Q1095" s="1175"/>
      <c r="R1095" s="1175"/>
      <c r="S1095" s="1175"/>
      <c r="T1095" s="1175"/>
      <c r="U1095" s="1175"/>
      <c r="V1095" s="1175"/>
      <c r="W1095" s="1175"/>
      <c r="X1095" s="1175"/>
      <c r="Y1095" s="1175"/>
      <c r="Z1095" s="1175"/>
      <c r="AA1095" s="1176"/>
      <c r="AB1095" s="1176"/>
      <c r="AC1095" s="1176"/>
    </row>
    <row r="1096" spans="16:29">
      <c r="P1096" s="1175"/>
      <c r="Q1096" s="1175"/>
      <c r="R1096" s="1175"/>
      <c r="S1096" s="1175"/>
      <c r="T1096" s="1175"/>
      <c r="U1096" s="1175"/>
      <c r="V1096" s="1175"/>
      <c r="W1096" s="1175"/>
      <c r="X1096" s="1175"/>
      <c r="Y1096" s="1175"/>
      <c r="Z1096" s="1175"/>
      <c r="AA1096" s="1176"/>
      <c r="AB1096" s="1176"/>
      <c r="AC1096" s="1176"/>
    </row>
    <row r="1097" spans="16:29">
      <c r="P1097" s="1175"/>
      <c r="Q1097" s="1175"/>
      <c r="R1097" s="1175"/>
      <c r="S1097" s="1175"/>
      <c r="T1097" s="1175"/>
      <c r="U1097" s="1175"/>
      <c r="V1097" s="1175"/>
      <c r="W1097" s="1175"/>
      <c r="X1097" s="1175"/>
      <c r="Y1097" s="1175"/>
      <c r="Z1097" s="1175"/>
      <c r="AA1097" s="1176"/>
      <c r="AB1097" s="1176"/>
      <c r="AC1097" s="1176"/>
    </row>
    <row r="1098" spans="16:29">
      <c r="P1098" s="1175"/>
      <c r="Q1098" s="1175"/>
      <c r="R1098" s="1175"/>
      <c r="S1098" s="1175"/>
      <c r="T1098" s="1175"/>
      <c r="U1098" s="1175"/>
      <c r="V1098" s="1175"/>
      <c r="W1098" s="1175"/>
      <c r="X1098" s="1175"/>
      <c r="Y1098" s="1175"/>
      <c r="Z1098" s="1175"/>
      <c r="AA1098" s="1176"/>
      <c r="AB1098" s="1176"/>
      <c r="AC1098" s="1176"/>
    </row>
    <row r="1099" spans="16:29">
      <c r="P1099" s="1175"/>
      <c r="Q1099" s="1175"/>
      <c r="R1099" s="1175"/>
      <c r="S1099" s="1175"/>
      <c r="T1099" s="1175"/>
      <c r="U1099" s="1175"/>
      <c r="V1099" s="1175"/>
      <c r="W1099" s="1175"/>
      <c r="X1099" s="1175"/>
      <c r="Y1099" s="1175"/>
      <c r="Z1099" s="1175"/>
      <c r="AA1099" s="1176"/>
      <c r="AB1099" s="1176"/>
      <c r="AC1099" s="1176"/>
    </row>
    <row r="1100" spans="16:29">
      <c r="P1100" s="1175"/>
      <c r="Q1100" s="1175"/>
      <c r="R1100" s="1175"/>
      <c r="S1100" s="1175"/>
      <c r="T1100" s="1175"/>
      <c r="U1100" s="1175"/>
      <c r="V1100" s="1175"/>
      <c r="W1100" s="1175"/>
      <c r="X1100" s="1175"/>
      <c r="Y1100" s="1175"/>
      <c r="Z1100" s="1175"/>
      <c r="AA1100" s="1176"/>
      <c r="AB1100" s="1176"/>
      <c r="AC1100" s="1176"/>
    </row>
    <row r="1101" spans="16:29">
      <c r="P1101" s="1175"/>
      <c r="Q1101" s="1175"/>
      <c r="R1101" s="1175"/>
      <c r="S1101" s="1175"/>
      <c r="T1101" s="1175"/>
      <c r="U1101" s="1175"/>
      <c r="V1101" s="1175"/>
      <c r="W1101" s="1175"/>
      <c r="X1101" s="1175"/>
      <c r="Y1101" s="1175"/>
      <c r="Z1101" s="1175"/>
      <c r="AA1101" s="1176"/>
      <c r="AB1101" s="1176"/>
      <c r="AC1101" s="1176"/>
    </row>
    <row r="1102" spans="16:29">
      <c r="P1102" s="1175"/>
      <c r="Q1102" s="1175"/>
      <c r="R1102" s="1175"/>
      <c r="S1102" s="1175"/>
      <c r="T1102" s="1175"/>
      <c r="U1102" s="1175"/>
      <c r="V1102" s="1175"/>
      <c r="W1102" s="1175"/>
      <c r="X1102" s="1175"/>
      <c r="Y1102" s="1175"/>
      <c r="Z1102" s="1175"/>
      <c r="AA1102" s="1176"/>
      <c r="AB1102" s="1176"/>
      <c r="AC1102" s="1176"/>
    </row>
    <row r="1103" spans="16:29">
      <c r="P1103" s="1175"/>
      <c r="Q1103" s="1175"/>
      <c r="R1103" s="1175"/>
      <c r="S1103" s="1175"/>
      <c r="T1103" s="1175"/>
      <c r="U1103" s="1175"/>
      <c r="V1103" s="1175"/>
      <c r="W1103" s="1175"/>
      <c r="X1103" s="1175"/>
      <c r="Y1103" s="1175"/>
      <c r="Z1103" s="1175"/>
      <c r="AA1103" s="1176"/>
      <c r="AB1103" s="1176"/>
      <c r="AC1103" s="1176"/>
    </row>
    <row r="1104" spans="16:29">
      <c r="P1104" s="1175"/>
      <c r="Q1104" s="1175"/>
      <c r="R1104" s="1175"/>
      <c r="S1104" s="1175"/>
      <c r="T1104" s="1175"/>
      <c r="U1104" s="1175"/>
      <c r="V1104" s="1175"/>
      <c r="W1104" s="1175"/>
      <c r="X1104" s="1175"/>
      <c r="Y1104" s="1175"/>
      <c r="Z1104" s="1175"/>
      <c r="AA1104" s="1176"/>
      <c r="AB1104" s="1176"/>
      <c r="AC1104" s="1176"/>
    </row>
    <row r="1105" spans="16:29">
      <c r="P1105" s="1175"/>
      <c r="Q1105" s="1175"/>
      <c r="R1105" s="1175"/>
      <c r="S1105" s="1175"/>
      <c r="T1105" s="1175"/>
      <c r="U1105" s="1175"/>
      <c r="V1105" s="1175"/>
      <c r="W1105" s="1175"/>
      <c r="X1105" s="1175"/>
      <c r="Y1105" s="1175"/>
      <c r="Z1105" s="1175"/>
      <c r="AA1105" s="1176"/>
      <c r="AB1105" s="1176"/>
      <c r="AC1105" s="1176"/>
    </row>
    <row r="1106" spans="16:29">
      <c r="P1106" s="1175"/>
      <c r="Q1106" s="1175"/>
      <c r="R1106" s="1175"/>
      <c r="S1106" s="1175"/>
      <c r="T1106" s="1175"/>
      <c r="U1106" s="1175"/>
      <c r="V1106" s="1175"/>
      <c r="W1106" s="1175"/>
      <c r="X1106" s="1175"/>
      <c r="Y1106" s="1175"/>
      <c r="Z1106" s="1175"/>
      <c r="AA1106" s="1176"/>
      <c r="AB1106" s="1176"/>
      <c r="AC1106" s="1176"/>
    </row>
    <row r="1107" spans="16:29">
      <c r="P1107" s="1175"/>
      <c r="Q1107" s="1175"/>
      <c r="R1107" s="1175"/>
      <c r="S1107" s="1175"/>
      <c r="T1107" s="1175"/>
      <c r="U1107" s="1175"/>
      <c r="V1107" s="1175"/>
      <c r="W1107" s="1175"/>
      <c r="X1107" s="1175"/>
      <c r="Y1107" s="1175"/>
      <c r="Z1107" s="1175"/>
      <c r="AA1107" s="1176"/>
      <c r="AB1107" s="1176"/>
      <c r="AC1107" s="1176"/>
    </row>
    <row r="1108" spans="16:29">
      <c r="P1108" s="1175"/>
      <c r="Q1108" s="1175"/>
      <c r="R1108" s="1175"/>
      <c r="S1108" s="1175"/>
      <c r="T1108" s="1175"/>
      <c r="U1108" s="1175"/>
      <c r="V1108" s="1175"/>
      <c r="W1108" s="1175"/>
      <c r="X1108" s="1175"/>
      <c r="Y1108" s="1175"/>
      <c r="Z1108" s="1175"/>
      <c r="AA1108" s="1176"/>
      <c r="AB1108" s="1176"/>
      <c r="AC1108" s="1176"/>
    </row>
    <row r="1109" spans="16:29">
      <c r="P1109" s="1175"/>
      <c r="Q1109" s="1175"/>
      <c r="R1109" s="1175"/>
      <c r="S1109" s="1175"/>
      <c r="T1109" s="1175"/>
      <c r="U1109" s="1175"/>
      <c r="V1109" s="1175"/>
      <c r="W1109" s="1175"/>
      <c r="X1109" s="1175"/>
      <c r="Y1109" s="1175"/>
      <c r="Z1109" s="1175"/>
      <c r="AA1109" s="1176"/>
      <c r="AB1109" s="1176"/>
      <c r="AC1109" s="1176"/>
    </row>
    <row r="1110" spans="16:29">
      <c r="P1110" s="1175"/>
      <c r="Q1110" s="1175"/>
      <c r="R1110" s="1175"/>
      <c r="S1110" s="1175"/>
      <c r="T1110" s="1175"/>
      <c r="U1110" s="1175"/>
      <c r="V1110" s="1175"/>
      <c r="W1110" s="1175"/>
      <c r="X1110" s="1175"/>
      <c r="Y1110" s="1175"/>
      <c r="Z1110" s="1175"/>
      <c r="AA1110" s="1176"/>
      <c r="AB1110" s="1176"/>
      <c r="AC1110" s="1176"/>
    </row>
    <row r="1111" spans="16:29">
      <c r="P1111" s="1175"/>
      <c r="Q1111" s="1175"/>
      <c r="R1111" s="1175"/>
      <c r="S1111" s="1175"/>
      <c r="T1111" s="1175"/>
      <c r="U1111" s="1175"/>
      <c r="V1111" s="1175"/>
      <c r="W1111" s="1175"/>
      <c r="X1111" s="1175"/>
      <c r="Y1111" s="1175"/>
      <c r="Z1111" s="1175"/>
      <c r="AA1111" s="1176"/>
      <c r="AB1111" s="1176"/>
      <c r="AC1111" s="1176"/>
    </row>
    <row r="1112" spans="16:29">
      <c r="P1112" s="1175"/>
      <c r="Q1112" s="1175"/>
      <c r="R1112" s="1175"/>
      <c r="S1112" s="1175"/>
      <c r="T1112" s="1175"/>
      <c r="U1112" s="1175"/>
      <c r="V1112" s="1175"/>
      <c r="W1112" s="1175"/>
      <c r="X1112" s="1175"/>
      <c r="Y1112" s="1175"/>
      <c r="Z1112" s="1175"/>
      <c r="AA1112" s="1176"/>
      <c r="AB1112" s="1176"/>
      <c r="AC1112" s="1176"/>
    </row>
    <row r="1113" spans="16:29">
      <c r="P1113" s="1175"/>
      <c r="Q1113" s="1175"/>
      <c r="R1113" s="1175"/>
      <c r="S1113" s="1175"/>
      <c r="T1113" s="1175"/>
      <c r="U1113" s="1175"/>
      <c r="V1113" s="1175"/>
      <c r="W1113" s="1175"/>
      <c r="X1113" s="1175"/>
      <c r="Y1113" s="1175"/>
      <c r="Z1113" s="1175"/>
      <c r="AA1113" s="1176"/>
      <c r="AB1113" s="1176"/>
      <c r="AC1113" s="1176"/>
    </row>
    <row r="1114" spans="16:29">
      <c r="P1114" s="1175"/>
      <c r="Q1114" s="1175"/>
      <c r="R1114" s="1175"/>
      <c r="S1114" s="1175"/>
      <c r="T1114" s="1175"/>
      <c r="U1114" s="1175"/>
      <c r="V1114" s="1175"/>
      <c r="W1114" s="1175"/>
      <c r="X1114" s="1175"/>
      <c r="Y1114" s="1175"/>
      <c r="Z1114" s="1175"/>
      <c r="AA1114" s="1176"/>
      <c r="AB1114" s="1176"/>
      <c r="AC1114" s="1176"/>
    </row>
    <row r="1115" spans="16:29">
      <c r="P1115" s="1175"/>
      <c r="Q1115" s="1175"/>
      <c r="R1115" s="1175"/>
      <c r="S1115" s="1175"/>
      <c r="T1115" s="1175"/>
      <c r="U1115" s="1175"/>
      <c r="V1115" s="1175"/>
      <c r="W1115" s="1175"/>
      <c r="X1115" s="1175"/>
      <c r="Y1115" s="1175"/>
      <c r="Z1115" s="1175"/>
      <c r="AA1115" s="1176"/>
      <c r="AB1115" s="1176"/>
      <c r="AC1115" s="1176"/>
    </row>
    <row r="1116" spans="16:29">
      <c r="P1116" s="1175"/>
      <c r="Q1116" s="1175"/>
      <c r="R1116" s="1175"/>
      <c r="S1116" s="1175"/>
      <c r="T1116" s="1175"/>
      <c r="U1116" s="1175"/>
      <c r="V1116" s="1175"/>
      <c r="W1116" s="1175"/>
      <c r="X1116" s="1175"/>
      <c r="Y1116" s="1175"/>
      <c r="Z1116" s="1175"/>
      <c r="AA1116" s="1176"/>
      <c r="AB1116" s="1176"/>
      <c r="AC1116" s="1176"/>
    </row>
    <row r="1117" spans="16:29">
      <c r="P1117" s="1175"/>
      <c r="Q1117" s="1175"/>
      <c r="R1117" s="1175"/>
      <c r="S1117" s="1175"/>
      <c r="T1117" s="1175"/>
      <c r="U1117" s="1175"/>
      <c r="V1117" s="1175"/>
      <c r="W1117" s="1175"/>
      <c r="X1117" s="1175"/>
      <c r="Y1117" s="1175"/>
      <c r="Z1117" s="1175"/>
      <c r="AA1117" s="1176"/>
      <c r="AB1117" s="1176"/>
      <c r="AC1117" s="1176"/>
    </row>
    <row r="1118" spans="16:29">
      <c r="P1118" s="1175"/>
      <c r="Q1118" s="1175"/>
      <c r="R1118" s="1175"/>
      <c r="S1118" s="1175"/>
      <c r="T1118" s="1175"/>
      <c r="U1118" s="1175"/>
      <c r="V1118" s="1175"/>
      <c r="W1118" s="1175"/>
      <c r="X1118" s="1175"/>
      <c r="Y1118" s="1175"/>
      <c r="Z1118" s="1175"/>
      <c r="AA1118" s="1176"/>
      <c r="AB1118" s="1176"/>
      <c r="AC1118" s="1176"/>
    </row>
    <row r="1119" spans="16:29">
      <c r="P1119" s="1175"/>
      <c r="Q1119" s="1175"/>
      <c r="R1119" s="1175"/>
      <c r="S1119" s="1175"/>
      <c r="T1119" s="1175"/>
      <c r="U1119" s="1175"/>
      <c r="V1119" s="1175"/>
      <c r="W1119" s="1175"/>
      <c r="X1119" s="1175"/>
      <c r="Y1119" s="1175"/>
      <c r="Z1119" s="1175"/>
      <c r="AA1119" s="1176"/>
      <c r="AB1119" s="1176"/>
      <c r="AC1119" s="1176"/>
    </row>
    <row r="1120" spans="16:29">
      <c r="P1120" s="1175"/>
      <c r="Q1120" s="1175"/>
      <c r="R1120" s="1175"/>
      <c r="S1120" s="1175"/>
      <c r="T1120" s="1175"/>
      <c r="U1120" s="1175"/>
      <c r="V1120" s="1175"/>
      <c r="W1120" s="1175"/>
      <c r="X1120" s="1175"/>
      <c r="Y1120" s="1175"/>
      <c r="Z1120" s="1175"/>
      <c r="AA1120" s="1176"/>
      <c r="AB1120" s="1176"/>
      <c r="AC1120" s="1176"/>
    </row>
    <row r="1121" spans="16:29">
      <c r="P1121" s="1175"/>
      <c r="Q1121" s="1175"/>
      <c r="R1121" s="1175"/>
      <c r="S1121" s="1175"/>
      <c r="T1121" s="1175"/>
      <c r="U1121" s="1175"/>
      <c r="V1121" s="1175"/>
      <c r="W1121" s="1175"/>
      <c r="X1121" s="1175"/>
      <c r="Y1121" s="1175"/>
      <c r="Z1121" s="1175"/>
      <c r="AA1121" s="1176"/>
      <c r="AB1121" s="1176"/>
      <c r="AC1121" s="1176"/>
    </row>
    <row r="1122" spans="16:29">
      <c r="P1122" s="1175"/>
      <c r="Q1122" s="1175"/>
      <c r="R1122" s="1175"/>
      <c r="S1122" s="1175"/>
      <c r="T1122" s="1175"/>
      <c r="U1122" s="1175"/>
      <c r="V1122" s="1175"/>
      <c r="W1122" s="1175"/>
      <c r="X1122" s="1175"/>
      <c r="Y1122" s="1175"/>
      <c r="Z1122" s="1175"/>
      <c r="AA1122" s="1176"/>
      <c r="AB1122" s="1176"/>
      <c r="AC1122" s="1176"/>
    </row>
    <row r="1123" spans="16:29">
      <c r="P1123" s="1175"/>
      <c r="Q1123" s="1175"/>
      <c r="R1123" s="1175"/>
      <c r="S1123" s="1175"/>
      <c r="T1123" s="1175"/>
      <c r="U1123" s="1175"/>
      <c r="V1123" s="1175"/>
      <c r="W1123" s="1175"/>
      <c r="X1123" s="1175"/>
      <c r="Y1123" s="1175"/>
      <c r="Z1123" s="1175"/>
      <c r="AA1123" s="1176"/>
      <c r="AB1123" s="1176"/>
      <c r="AC1123" s="1176"/>
    </row>
    <row r="1124" spans="16:29">
      <c r="P1124" s="1175"/>
      <c r="Q1124" s="1175"/>
      <c r="R1124" s="1175"/>
      <c r="S1124" s="1175"/>
      <c r="T1124" s="1175"/>
      <c r="U1124" s="1175"/>
      <c r="V1124" s="1175"/>
      <c r="W1124" s="1175"/>
      <c r="X1124" s="1175"/>
      <c r="Y1124" s="1175"/>
      <c r="Z1124" s="1175"/>
      <c r="AA1124" s="1176"/>
      <c r="AB1124" s="1176"/>
      <c r="AC1124" s="1176"/>
    </row>
    <row r="1125" spans="16:29">
      <c r="P1125" s="1175"/>
      <c r="Q1125" s="1175"/>
      <c r="R1125" s="1175"/>
      <c r="S1125" s="1175"/>
      <c r="T1125" s="1175"/>
      <c r="U1125" s="1175"/>
      <c r="V1125" s="1175"/>
      <c r="W1125" s="1175"/>
      <c r="X1125" s="1175"/>
      <c r="Y1125" s="1175"/>
      <c r="Z1125" s="1175"/>
      <c r="AA1125" s="1176"/>
      <c r="AB1125" s="1176"/>
      <c r="AC1125" s="1175"/>
    </row>
    <row r="1126" spans="16:29">
      <c r="P1126" s="1175"/>
      <c r="Q1126" s="1175"/>
      <c r="R1126" s="1175"/>
      <c r="S1126" s="1175"/>
      <c r="T1126" s="1175"/>
      <c r="U1126" s="1175"/>
      <c r="V1126" s="1175"/>
      <c r="W1126" s="1175"/>
      <c r="X1126" s="1175"/>
      <c r="Y1126" s="1175"/>
      <c r="Z1126" s="1175"/>
      <c r="AA1126" s="1176"/>
      <c r="AB1126" s="1176"/>
      <c r="AC1126" s="1176"/>
    </row>
    <row r="1127" spans="16:29">
      <c r="P1127" s="1175"/>
      <c r="Q1127" s="1175"/>
      <c r="R1127" s="1175"/>
      <c r="S1127" s="1175"/>
      <c r="T1127" s="1175"/>
      <c r="U1127" s="1175"/>
      <c r="V1127" s="1175"/>
      <c r="W1127" s="1175"/>
      <c r="X1127" s="1175"/>
      <c r="Y1127" s="1175"/>
      <c r="Z1127" s="1175"/>
      <c r="AA1127" s="1176"/>
      <c r="AB1127" s="1176"/>
      <c r="AC1127" s="1176"/>
    </row>
    <row r="1128" spans="16:29">
      <c r="P1128" s="1175"/>
      <c r="Q1128" s="1175"/>
      <c r="R1128" s="1175"/>
      <c r="S1128" s="1175"/>
      <c r="T1128" s="1175"/>
      <c r="U1128" s="1175"/>
      <c r="V1128" s="1175"/>
      <c r="W1128" s="1175"/>
      <c r="X1128" s="1175"/>
      <c r="Y1128" s="1175"/>
      <c r="Z1128" s="1175"/>
      <c r="AA1128" s="1176"/>
      <c r="AB1128" s="1176"/>
      <c r="AC1128" s="1176"/>
    </row>
    <row r="1129" spans="16:29">
      <c r="P1129" s="1175"/>
      <c r="Q1129" s="1175"/>
      <c r="R1129" s="1175"/>
      <c r="S1129" s="1175"/>
      <c r="T1129" s="1175"/>
      <c r="U1129" s="1175"/>
      <c r="V1129" s="1175"/>
      <c r="W1129" s="1175"/>
      <c r="X1129" s="1175"/>
      <c r="Y1129" s="1175"/>
      <c r="Z1129" s="1175"/>
      <c r="AA1129" s="1176"/>
      <c r="AB1129" s="1176"/>
      <c r="AC1129" s="1176"/>
    </row>
    <row r="1130" spans="16:29">
      <c r="P1130" s="1175"/>
      <c r="Q1130" s="1175"/>
      <c r="R1130" s="1175"/>
      <c r="S1130" s="1175"/>
      <c r="T1130" s="1175"/>
      <c r="U1130" s="1175"/>
      <c r="V1130" s="1175"/>
      <c r="W1130" s="1175"/>
      <c r="X1130" s="1175"/>
      <c r="Y1130" s="1175"/>
      <c r="Z1130" s="1175"/>
      <c r="AA1130" s="1176"/>
      <c r="AB1130" s="1176"/>
      <c r="AC1130" s="1176"/>
    </row>
    <row r="1131" spans="16:29">
      <c r="P1131" s="1175"/>
      <c r="Q1131" s="1175"/>
      <c r="R1131" s="1175"/>
      <c r="S1131" s="1175"/>
      <c r="T1131" s="1175"/>
      <c r="U1131" s="1175"/>
      <c r="V1131" s="1175"/>
      <c r="W1131" s="1175"/>
      <c r="X1131" s="1175"/>
      <c r="Y1131" s="1175"/>
      <c r="Z1131" s="1175"/>
      <c r="AA1131" s="1176"/>
      <c r="AB1131" s="1176"/>
      <c r="AC1131" s="1176"/>
    </row>
    <row r="1132" spans="16:29">
      <c r="P1132" s="1175"/>
      <c r="Q1132" s="1175"/>
      <c r="R1132" s="1175"/>
      <c r="S1132" s="1175"/>
      <c r="T1132" s="1175"/>
      <c r="U1132" s="1175"/>
      <c r="V1132" s="1175"/>
      <c r="W1132" s="1175"/>
      <c r="X1132" s="1175"/>
      <c r="Y1132" s="1175"/>
      <c r="Z1132" s="1175"/>
      <c r="AA1132" s="1176"/>
      <c r="AB1132" s="1176"/>
      <c r="AC1132" s="1176"/>
    </row>
    <row r="1133" spans="16:29">
      <c r="P1133" s="1175"/>
      <c r="Q1133" s="1175"/>
      <c r="R1133" s="1175"/>
      <c r="S1133" s="1175"/>
      <c r="T1133" s="1175"/>
      <c r="U1133" s="1175"/>
      <c r="V1133" s="1175"/>
      <c r="W1133" s="1175"/>
      <c r="X1133" s="1175"/>
      <c r="Y1133" s="1175"/>
      <c r="Z1133" s="1175"/>
      <c r="AA1133" s="1176"/>
      <c r="AB1133" s="1176"/>
      <c r="AC1133" s="1176"/>
    </row>
    <row r="1134" spans="16:29">
      <c r="P1134" s="1175"/>
      <c r="Q1134" s="1175"/>
      <c r="R1134" s="1175"/>
      <c r="S1134" s="1175"/>
      <c r="T1134" s="1175"/>
      <c r="U1134" s="1175"/>
      <c r="V1134" s="1175"/>
      <c r="W1134" s="1175"/>
      <c r="X1134" s="1175"/>
      <c r="Y1134" s="1175"/>
      <c r="Z1134" s="1175"/>
      <c r="AA1134" s="1176"/>
      <c r="AB1134" s="1176"/>
      <c r="AC1134" s="1176"/>
    </row>
    <row r="1135" spans="16:29">
      <c r="P1135" s="1175"/>
      <c r="Q1135" s="1175"/>
      <c r="R1135" s="1175"/>
      <c r="S1135" s="1175"/>
      <c r="T1135" s="1175"/>
      <c r="U1135" s="1175"/>
      <c r="V1135" s="1175"/>
      <c r="W1135" s="1175"/>
      <c r="X1135" s="1175"/>
      <c r="Y1135" s="1175"/>
      <c r="Z1135" s="1175"/>
      <c r="AA1135" s="1176"/>
      <c r="AB1135" s="1176"/>
      <c r="AC1135" s="1176"/>
    </row>
    <row r="1136" spans="16:29">
      <c r="P1136" s="1175"/>
      <c r="Q1136" s="1175"/>
      <c r="R1136" s="1175"/>
      <c r="S1136" s="1175"/>
      <c r="T1136" s="1175"/>
      <c r="U1136" s="1175"/>
      <c r="V1136" s="1175"/>
      <c r="W1136" s="1175"/>
      <c r="X1136" s="1175"/>
      <c r="Y1136" s="1175"/>
      <c r="Z1136" s="1175"/>
      <c r="AA1136" s="1176"/>
      <c r="AB1136" s="1176"/>
      <c r="AC1136" s="1176"/>
    </row>
    <row r="1137" spans="16:29">
      <c r="P1137" s="1175"/>
      <c r="Q1137" s="1175"/>
      <c r="R1137" s="1175"/>
      <c r="S1137" s="1175"/>
      <c r="T1137" s="1175"/>
      <c r="U1137" s="1175"/>
      <c r="V1137" s="1175"/>
      <c r="W1137" s="1175"/>
      <c r="X1137" s="1175"/>
      <c r="Y1137" s="1175"/>
      <c r="Z1137" s="1175"/>
      <c r="AA1137" s="1176"/>
      <c r="AB1137" s="1176"/>
      <c r="AC1137" s="1176"/>
    </row>
    <row r="1138" spans="16:29">
      <c r="P1138" s="1175"/>
      <c r="Q1138" s="1175"/>
      <c r="R1138" s="1175"/>
      <c r="S1138" s="1175"/>
      <c r="T1138" s="1175"/>
      <c r="U1138" s="1175"/>
      <c r="V1138" s="1175"/>
      <c r="W1138" s="1175"/>
      <c r="X1138" s="1175"/>
      <c r="Y1138" s="1175"/>
      <c r="Z1138" s="1175"/>
      <c r="AA1138" s="1176"/>
      <c r="AB1138" s="1176"/>
      <c r="AC1138" s="1176"/>
    </row>
    <row r="1139" spans="16:29">
      <c r="P1139" s="1175"/>
      <c r="Q1139" s="1175"/>
      <c r="R1139" s="1175"/>
      <c r="S1139" s="1175"/>
      <c r="T1139" s="1175"/>
      <c r="U1139" s="1175"/>
      <c r="V1139" s="1175"/>
      <c r="W1139" s="1175"/>
      <c r="X1139" s="1175"/>
      <c r="Y1139" s="1175"/>
      <c r="Z1139" s="1175"/>
      <c r="AA1139" s="1176"/>
      <c r="AB1139" s="1176"/>
      <c r="AC1139" s="1176"/>
    </row>
    <row r="1140" spans="16:29">
      <c r="P1140" s="1175"/>
      <c r="Q1140" s="1175"/>
      <c r="R1140" s="1175"/>
      <c r="S1140" s="1175"/>
      <c r="T1140" s="1175"/>
      <c r="U1140" s="1175"/>
      <c r="V1140" s="1175"/>
      <c r="W1140" s="1175"/>
      <c r="X1140" s="1175"/>
      <c r="Y1140" s="1175"/>
      <c r="Z1140" s="1175"/>
      <c r="AA1140" s="1176"/>
      <c r="AB1140" s="1176"/>
      <c r="AC1140" s="1176"/>
    </row>
    <row r="1141" spans="16:29">
      <c r="P1141" s="1175"/>
      <c r="Q1141" s="1175"/>
      <c r="R1141" s="1175"/>
      <c r="S1141" s="1175"/>
      <c r="T1141" s="1175"/>
      <c r="U1141" s="1175"/>
      <c r="V1141" s="1175"/>
      <c r="W1141" s="1175"/>
      <c r="X1141" s="1175"/>
      <c r="Y1141" s="1175"/>
      <c r="Z1141" s="1175"/>
      <c r="AA1141" s="1176"/>
      <c r="AB1141" s="1176"/>
      <c r="AC1141" s="1176"/>
    </row>
    <row r="1142" spans="16:29">
      <c r="P1142" s="1175"/>
      <c r="Q1142" s="1175"/>
      <c r="R1142" s="1175"/>
      <c r="S1142" s="1175"/>
      <c r="T1142" s="1175"/>
      <c r="U1142" s="1175"/>
      <c r="V1142" s="1175"/>
      <c r="W1142" s="1175"/>
      <c r="X1142" s="1175"/>
      <c r="Y1142" s="1175"/>
      <c r="Z1142" s="1175"/>
      <c r="AA1142" s="1176"/>
      <c r="AB1142" s="1176"/>
      <c r="AC1142" s="1176"/>
    </row>
    <row r="1143" spans="16:29">
      <c r="P1143" s="1175"/>
      <c r="Q1143" s="1175"/>
      <c r="R1143" s="1175"/>
      <c r="S1143" s="1175"/>
      <c r="T1143" s="1175"/>
      <c r="U1143" s="1175"/>
      <c r="V1143" s="1175"/>
      <c r="W1143" s="1175"/>
      <c r="X1143" s="1175"/>
      <c r="Y1143" s="1175"/>
      <c r="Z1143" s="1175"/>
      <c r="AA1143" s="1176"/>
      <c r="AB1143" s="1176"/>
      <c r="AC1143" s="1176"/>
    </row>
    <row r="1144" spans="16:29">
      <c r="P1144" s="1175"/>
      <c r="Q1144" s="1175"/>
      <c r="R1144" s="1175"/>
      <c r="S1144" s="1175"/>
      <c r="T1144" s="1175"/>
      <c r="U1144" s="1175"/>
      <c r="V1144" s="1175"/>
      <c r="W1144" s="1175"/>
      <c r="X1144" s="1175"/>
      <c r="Y1144" s="1175"/>
      <c r="Z1144" s="1175"/>
      <c r="AA1144" s="1176"/>
      <c r="AB1144" s="1176"/>
      <c r="AC1144" s="1176"/>
    </row>
    <row r="1145" spans="16:29">
      <c r="P1145" s="1175"/>
      <c r="Q1145" s="1175"/>
      <c r="R1145" s="1175"/>
      <c r="S1145" s="1175"/>
      <c r="T1145" s="1175"/>
      <c r="U1145" s="1175"/>
      <c r="V1145" s="1175"/>
      <c r="W1145" s="1175"/>
      <c r="X1145" s="1175"/>
      <c r="Y1145" s="1175"/>
      <c r="Z1145" s="1175"/>
      <c r="AA1145" s="1176"/>
      <c r="AB1145" s="1176"/>
      <c r="AC1145" s="1176"/>
    </row>
    <row r="1146" spans="16:29">
      <c r="P1146" s="1175"/>
      <c r="Q1146" s="1175"/>
      <c r="R1146" s="1175"/>
      <c r="S1146" s="1175"/>
      <c r="T1146" s="1175"/>
      <c r="U1146" s="1175"/>
      <c r="V1146" s="1175"/>
      <c r="W1146" s="1175"/>
      <c r="X1146" s="1175"/>
      <c r="Y1146" s="1175"/>
      <c r="Z1146" s="1175"/>
      <c r="AA1146" s="1176"/>
      <c r="AB1146" s="1176"/>
      <c r="AC1146" s="1176"/>
    </row>
    <row r="1147" spans="16:29">
      <c r="P1147" s="1175"/>
      <c r="Q1147" s="1175"/>
      <c r="R1147" s="1175"/>
      <c r="S1147" s="1175"/>
      <c r="T1147" s="1175"/>
      <c r="U1147" s="1175"/>
      <c r="V1147" s="1175"/>
      <c r="W1147" s="1175"/>
      <c r="X1147" s="1175"/>
      <c r="Y1147" s="1175"/>
      <c r="Z1147" s="1175"/>
      <c r="AA1147" s="1175"/>
      <c r="AB1147" s="1175"/>
      <c r="AC1147" s="1176"/>
    </row>
    <row r="1148" spans="16:29">
      <c r="P1148" s="1175"/>
      <c r="Q1148" s="1175"/>
      <c r="R1148" s="1175"/>
      <c r="S1148" s="1175"/>
      <c r="T1148" s="1175"/>
      <c r="U1148" s="1175"/>
      <c r="V1148" s="1175"/>
      <c r="W1148" s="1175"/>
      <c r="X1148" s="1175"/>
      <c r="Y1148" s="1175"/>
      <c r="Z1148" s="1175"/>
      <c r="AA1148" s="1176"/>
      <c r="AB1148" s="1176"/>
      <c r="AC1148" s="1176"/>
    </row>
    <row r="1149" spans="16:29">
      <c r="P1149" s="1175"/>
      <c r="Q1149" s="1175"/>
      <c r="R1149" s="1175"/>
      <c r="S1149" s="1175"/>
      <c r="T1149" s="1175"/>
      <c r="U1149" s="1175"/>
      <c r="V1149" s="1175"/>
      <c r="W1149" s="1175"/>
      <c r="X1149" s="1175"/>
      <c r="Y1149" s="1175"/>
      <c r="Z1149" s="1175"/>
      <c r="AA1149" s="1176"/>
      <c r="AB1149" s="1176"/>
      <c r="AC1149" s="1176"/>
    </row>
    <row r="1150" spans="16:29">
      <c r="P1150" s="1175"/>
      <c r="Q1150" s="1175"/>
      <c r="R1150" s="1175"/>
      <c r="S1150" s="1175"/>
      <c r="T1150" s="1175"/>
      <c r="U1150" s="1175"/>
      <c r="V1150" s="1175"/>
      <c r="W1150" s="1175"/>
      <c r="X1150" s="1175"/>
      <c r="Y1150" s="1175"/>
      <c r="Z1150" s="1175"/>
      <c r="AA1150" s="1176"/>
      <c r="AB1150" s="1176"/>
      <c r="AC1150" s="1176"/>
    </row>
    <row r="1151" spans="16:29">
      <c r="P1151" s="1175"/>
      <c r="Q1151" s="1175"/>
      <c r="R1151" s="1175"/>
      <c r="S1151" s="1175"/>
      <c r="T1151" s="1175"/>
      <c r="U1151" s="1175"/>
      <c r="V1151" s="1175"/>
      <c r="W1151" s="1175"/>
      <c r="X1151" s="1175"/>
      <c r="Y1151" s="1175"/>
      <c r="Z1151" s="1175"/>
      <c r="AA1151" s="1176"/>
      <c r="AB1151" s="1176"/>
      <c r="AC1151" s="1176"/>
    </row>
    <row r="1152" spans="16:29">
      <c r="P1152" s="1175"/>
      <c r="Q1152" s="1175"/>
      <c r="R1152" s="1175"/>
      <c r="S1152" s="1175"/>
      <c r="T1152" s="1175"/>
      <c r="U1152" s="1175"/>
      <c r="V1152" s="1175"/>
      <c r="W1152" s="1175"/>
      <c r="X1152" s="1175"/>
      <c r="Y1152" s="1175"/>
      <c r="Z1152" s="1175"/>
      <c r="AA1152" s="1176"/>
      <c r="AB1152" s="1176"/>
      <c r="AC1152" s="1176"/>
    </row>
    <row r="1153" spans="16:29">
      <c r="P1153" s="1175"/>
      <c r="Q1153" s="1175"/>
      <c r="R1153" s="1175"/>
      <c r="S1153" s="1175"/>
      <c r="T1153" s="1175"/>
      <c r="U1153" s="1175"/>
      <c r="V1153" s="1175"/>
      <c r="W1153" s="1175"/>
      <c r="X1153" s="1175"/>
      <c r="Y1153" s="1175"/>
      <c r="Z1153" s="1175"/>
      <c r="AA1153" s="1176"/>
      <c r="AB1153" s="1176"/>
      <c r="AC1153" s="1176"/>
    </row>
    <row r="1154" spans="16:29">
      <c r="P1154" s="1175"/>
      <c r="Q1154" s="1175"/>
      <c r="R1154" s="1175"/>
      <c r="S1154" s="1175"/>
      <c r="T1154" s="1175"/>
      <c r="U1154" s="1175"/>
      <c r="V1154" s="1175"/>
      <c r="W1154" s="1175"/>
      <c r="X1154" s="1175"/>
      <c r="Y1154" s="1175"/>
      <c r="Z1154" s="1175"/>
      <c r="AA1154" s="1176"/>
      <c r="AB1154" s="1176"/>
      <c r="AC1154" s="1176"/>
    </row>
    <row r="1155" spans="16:29">
      <c r="P1155" s="1175"/>
      <c r="Q1155" s="1175"/>
      <c r="R1155" s="1175"/>
      <c r="S1155" s="1175"/>
      <c r="T1155" s="1175"/>
      <c r="U1155" s="1175"/>
      <c r="V1155" s="1175"/>
      <c r="W1155" s="1175"/>
      <c r="X1155" s="1175"/>
      <c r="Y1155" s="1175"/>
      <c r="Z1155" s="1175"/>
      <c r="AA1155" s="1176"/>
      <c r="AB1155" s="1176"/>
      <c r="AC1155" s="1176"/>
    </row>
    <row r="1156" spans="16:29">
      <c r="P1156" s="1175"/>
      <c r="Q1156" s="1175"/>
      <c r="R1156" s="1175"/>
      <c r="S1156" s="1175"/>
      <c r="T1156" s="1175"/>
      <c r="U1156" s="1175"/>
      <c r="V1156" s="1175"/>
      <c r="W1156" s="1175"/>
      <c r="X1156" s="1175"/>
      <c r="Y1156" s="1175"/>
      <c r="Z1156" s="1175"/>
      <c r="AA1156" s="1176"/>
      <c r="AB1156" s="1176"/>
      <c r="AC1156" s="1176"/>
    </row>
    <row r="1157" spans="16:29">
      <c r="P1157" s="1175"/>
      <c r="Q1157" s="1175"/>
      <c r="R1157" s="1175"/>
      <c r="S1157" s="1175"/>
      <c r="T1157" s="1175"/>
      <c r="U1157" s="1175"/>
      <c r="V1157" s="1175"/>
      <c r="W1157" s="1175"/>
      <c r="X1157" s="1175"/>
      <c r="Y1157" s="1175"/>
      <c r="Z1157" s="1175"/>
      <c r="AA1157" s="1176"/>
      <c r="AB1157" s="1176"/>
      <c r="AC1157" s="1176"/>
    </row>
    <row r="1158" spans="16:29">
      <c r="P1158" s="1175"/>
      <c r="Q1158" s="1175"/>
      <c r="R1158" s="1175"/>
      <c r="S1158" s="1175"/>
      <c r="T1158" s="1175"/>
      <c r="U1158" s="1175"/>
      <c r="V1158" s="1175"/>
      <c r="W1158" s="1175"/>
      <c r="X1158" s="1175"/>
      <c r="Y1158" s="1175"/>
      <c r="Z1158" s="1175"/>
      <c r="AA1158" s="1176"/>
      <c r="AB1158" s="1176"/>
      <c r="AC1158" s="1176"/>
    </row>
    <row r="1159" spans="16:29">
      <c r="P1159" s="1175"/>
      <c r="Q1159" s="1175"/>
      <c r="R1159" s="1175"/>
      <c r="S1159" s="1175"/>
      <c r="T1159" s="1175"/>
      <c r="U1159" s="1175"/>
      <c r="V1159" s="1175"/>
      <c r="W1159" s="1175"/>
      <c r="X1159" s="1175"/>
      <c r="Y1159" s="1175"/>
      <c r="Z1159" s="1175"/>
      <c r="AA1159" s="1176"/>
      <c r="AB1159" s="1176"/>
      <c r="AC1159" s="1176"/>
    </row>
    <row r="1160" spans="16:29">
      <c r="P1160" s="1175"/>
      <c r="Q1160" s="1175"/>
      <c r="R1160" s="1175"/>
      <c r="S1160" s="1175"/>
      <c r="T1160" s="1175"/>
      <c r="U1160" s="1175"/>
      <c r="V1160" s="1175"/>
      <c r="W1160" s="1175"/>
      <c r="X1160" s="1175"/>
      <c r="Y1160" s="1175"/>
      <c r="Z1160" s="1175"/>
      <c r="AA1160" s="1176"/>
      <c r="AB1160" s="1176"/>
      <c r="AC1160" s="1176"/>
    </row>
    <row r="1161" spans="16:29">
      <c r="P1161" s="1175"/>
      <c r="Q1161" s="1175"/>
      <c r="R1161" s="1175"/>
      <c r="S1161" s="1175"/>
      <c r="T1161" s="1175"/>
      <c r="U1161" s="1175"/>
      <c r="V1161" s="1175"/>
      <c r="W1161" s="1175"/>
      <c r="X1161" s="1175"/>
      <c r="Y1161" s="1175"/>
      <c r="Z1161" s="1175"/>
      <c r="AA1161" s="1176"/>
      <c r="AB1161" s="1176"/>
      <c r="AC1161" s="1176"/>
    </row>
    <row r="1162" spans="16:29">
      <c r="P1162" s="1175"/>
      <c r="Q1162" s="1175"/>
      <c r="R1162" s="1175"/>
      <c r="S1162" s="1175"/>
      <c r="T1162" s="1175"/>
      <c r="U1162" s="1175"/>
      <c r="V1162" s="1175"/>
      <c r="W1162" s="1175"/>
      <c r="X1162" s="1175"/>
      <c r="Y1162" s="1175"/>
      <c r="Z1162" s="1175"/>
      <c r="AA1162" s="1176"/>
      <c r="AB1162" s="1176"/>
      <c r="AC1162" s="1176"/>
    </row>
    <row r="1163" spans="16:29">
      <c r="P1163" s="1175"/>
      <c r="Q1163" s="1175"/>
      <c r="R1163" s="1175"/>
      <c r="S1163" s="1175"/>
      <c r="T1163" s="1175"/>
      <c r="U1163" s="1175"/>
      <c r="V1163" s="1175"/>
      <c r="W1163" s="1175"/>
      <c r="X1163" s="1175"/>
      <c r="Y1163" s="1175"/>
      <c r="Z1163" s="1175"/>
      <c r="AA1163" s="1176"/>
      <c r="AB1163" s="1176"/>
      <c r="AC1163" s="1176"/>
    </row>
    <row r="1164" spans="16:29">
      <c r="P1164" s="1175"/>
      <c r="Q1164" s="1175"/>
      <c r="R1164" s="1175"/>
      <c r="S1164" s="1175"/>
      <c r="T1164" s="1175"/>
      <c r="U1164" s="1175"/>
      <c r="V1164" s="1175"/>
      <c r="W1164" s="1175"/>
      <c r="X1164" s="1175"/>
      <c r="Y1164" s="1175"/>
      <c r="Z1164" s="1175"/>
      <c r="AA1164" s="1176"/>
      <c r="AB1164" s="1176"/>
      <c r="AC1164" s="1176"/>
    </row>
    <row r="1165" spans="16:29">
      <c r="P1165" s="1175"/>
      <c r="Q1165" s="1175"/>
      <c r="R1165" s="1175"/>
      <c r="S1165" s="1175"/>
      <c r="T1165" s="1175"/>
      <c r="U1165" s="1175"/>
      <c r="V1165" s="1175"/>
      <c r="W1165" s="1175"/>
      <c r="X1165" s="1175"/>
      <c r="Y1165" s="1175"/>
      <c r="Z1165" s="1175"/>
      <c r="AA1165" s="1176"/>
      <c r="AB1165" s="1176"/>
      <c r="AC1165" s="1176"/>
    </row>
    <row r="1166" spans="16:29">
      <c r="P1166" s="1175"/>
      <c r="Q1166" s="1175"/>
      <c r="R1166" s="1175"/>
      <c r="S1166" s="1175"/>
      <c r="T1166" s="1175"/>
      <c r="U1166" s="1175"/>
      <c r="V1166" s="1175"/>
      <c r="W1166" s="1175"/>
      <c r="X1166" s="1175"/>
      <c r="Y1166" s="1175"/>
      <c r="Z1166" s="1175"/>
      <c r="AA1166" s="1176"/>
      <c r="AB1166" s="1176"/>
      <c r="AC1166" s="1176"/>
    </row>
    <row r="1167" spans="16:29">
      <c r="P1167" s="1175"/>
      <c r="Q1167" s="1175"/>
      <c r="R1167" s="1175"/>
      <c r="S1167" s="1175"/>
      <c r="T1167" s="1175"/>
      <c r="U1167" s="1175"/>
      <c r="V1167" s="1175"/>
      <c r="W1167" s="1175"/>
      <c r="X1167" s="1175"/>
      <c r="Y1167" s="1175"/>
      <c r="Z1167" s="1175"/>
      <c r="AA1167" s="1176"/>
      <c r="AB1167" s="1176"/>
      <c r="AC1167" s="1176"/>
    </row>
    <row r="1168" spans="16:29">
      <c r="P1168" s="1175"/>
      <c r="Q1168" s="1175"/>
      <c r="R1168" s="1175"/>
      <c r="S1168" s="1175"/>
      <c r="T1168" s="1175"/>
      <c r="U1168" s="1175"/>
      <c r="V1168" s="1175"/>
      <c r="W1168" s="1175"/>
      <c r="X1168" s="1175"/>
      <c r="Y1168" s="1175"/>
      <c r="Z1168" s="1175"/>
      <c r="AA1168" s="1176"/>
      <c r="AB1168" s="1176"/>
      <c r="AC1168" s="1176"/>
    </row>
    <row r="1169" spans="16:29">
      <c r="P1169" s="1175"/>
      <c r="Q1169" s="1175"/>
      <c r="R1169" s="1175"/>
      <c r="S1169" s="1175"/>
      <c r="T1169" s="1175"/>
      <c r="U1169" s="1175"/>
      <c r="V1169" s="1175"/>
      <c r="W1169" s="1175"/>
      <c r="X1169" s="1175"/>
      <c r="Y1169" s="1175"/>
      <c r="Z1169" s="1175"/>
      <c r="AA1169" s="1176"/>
      <c r="AB1169" s="1176"/>
      <c r="AC1169" s="1176"/>
    </row>
    <row r="1170" spans="16:29">
      <c r="P1170" s="1175"/>
      <c r="Q1170" s="1175"/>
      <c r="R1170" s="1175"/>
      <c r="S1170" s="1175"/>
      <c r="T1170" s="1175"/>
      <c r="U1170" s="1175"/>
      <c r="V1170" s="1175"/>
      <c r="W1170" s="1175"/>
      <c r="X1170" s="1175"/>
      <c r="Y1170" s="1175"/>
      <c r="Z1170" s="1175"/>
      <c r="AA1170" s="1176"/>
      <c r="AB1170" s="1176"/>
      <c r="AC1170" s="1176"/>
    </row>
    <row r="1171" spans="16:29">
      <c r="P1171" s="1175"/>
      <c r="Q1171" s="1175"/>
      <c r="R1171" s="1175"/>
      <c r="S1171" s="1175"/>
      <c r="T1171" s="1175"/>
      <c r="U1171" s="1175"/>
      <c r="V1171" s="1175"/>
      <c r="W1171" s="1175"/>
      <c r="X1171" s="1175"/>
      <c r="Y1171" s="1175"/>
      <c r="Z1171" s="1175"/>
      <c r="AA1171" s="1176"/>
      <c r="AB1171" s="1176"/>
      <c r="AC1171" s="1176"/>
    </row>
    <row r="1172" spans="16:29">
      <c r="P1172" s="1175"/>
      <c r="Q1172" s="1175"/>
      <c r="R1172" s="1175"/>
      <c r="S1172" s="1175"/>
      <c r="T1172" s="1175"/>
      <c r="U1172" s="1175"/>
      <c r="V1172" s="1175"/>
      <c r="W1172" s="1175"/>
      <c r="X1172" s="1175"/>
      <c r="Y1172" s="1175"/>
      <c r="Z1172" s="1175"/>
      <c r="AA1172" s="1176"/>
      <c r="AB1172" s="1176"/>
      <c r="AC1172" s="1176"/>
    </row>
    <row r="1173" spans="16:29">
      <c r="P1173" s="1175"/>
      <c r="Q1173" s="1175"/>
      <c r="R1173" s="1175"/>
      <c r="S1173" s="1175"/>
      <c r="T1173" s="1175"/>
      <c r="U1173" s="1175"/>
      <c r="V1173" s="1175"/>
      <c r="W1173" s="1175"/>
      <c r="X1173" s="1175"/>
      <c r="Y1173" s="1175"/>
      <c r="Z1173" s="1175"/>
      <c r="AA1173" s="1176"/>
      <c r="AB1173" s="1176"/>
      <c r="AC1173" s="1176"/>
    </row>
    <row r="1174" spans="16:29">
      <c r="P1174" s="1175"/>
      <c r="Q1174" s="1175"/>
      <c r="R1174" s="1175"/>
      <c r="S1174" s="1175"/>
      <c r="T1174" s="1175"/>
      <c r="U1174" s="1175"/>
      <c r="V1174" s="1175"/>
      <c r="W1174" s="1175"/>
      <c r="X1174" s="1175"/>
      <c r="Y1174" s="1175"/>
      <c r="Z1174" s="1175"/>
      <c r="AA1174" s="1176"/>
      <c r="AB1174" s="1176"/>
      <c r="AC1174" s="1176"/>
    </row>
    <row r="1175" spans="16:29">
      <c r="P1175" s="1175"/>
      <c r="Q1175" s="1175"/>
      <c r="R1175" s="1175"/>
      <c r="S1175" s="1175"/>
      <c r="T1175" s="1175"/>
      <c r="U1175" s="1175"/>
      <c r="V1175" s="1175"/>
      <c r="W1175" s="1175"/>
      <c r="X1175" s="1175"/>
      <c r="Y1175" s="1175"/>
      <c r="Z1175" s="1175"/>
      <c r="AA1175" s="1176"/>
      <c r="AB1175" s="1176"/>
      <c r="AC1175" s="1176"/>
    </row>
    <row r="1176" spans="16:29">
      <c r="P1176" s="1175"/>
      <c r="Q1176" s="1175"/>
      <c r="R1176" s="1175"/>
      <c r="S1176" s="1175"/>
      <c r="T1176" s="1175"/>
      <c r="U1176" s="1175"/>
      <c r="V1176" s="1175"/>
      <c r="W1176" s="1175"/>
      <c r="X1176" s="1175"/>
      <c r="Y1176" s="1175"/>
      <c r="Z1176" s="1175"/>
      <c r="AA1176" s="1176"/>
      <c r="AB1176" s="1176"/>
      <c r="AC1176" s="1176"/>
    </row>
    <row r="1177" spans="16:29">
      <c r="P1177" s="1175"/>
      <c r="Q1177" s="1175"/>
      <c r="R1177" s="1175"/>
      <c r="S1177" s="1175"/>
      <c r="T1177" s="1175"/>
      <c r="U1177" s="1175"/>
      <c r="V1177" s="1175"/>
      <c r="W1177" s="1175"/>
      <c r="X1177" s="1175"/>
      <c r="Y1177" s="1175"/>
      <c r="Z1177" s="1175"/>
      <c r="AA1177" s="1176"/>
      <c r="AB1177" s="1176"/>
      <c r="AC1177" s="1176"/>
    </row>
    <row r="1178" spans="16:29">
      <c r="P1178" s="1175"/>
      <c r="Q1178" s="1175"/>
      <c r="R1178" s="1175"/>
      <c r="S1178" s="1175"/>
      <c r="T1178" s="1175"/>
      <c r="U1178" s="1175"/>
      <c r="V1178" s="1175"/>
      <c r="W1178" s="1175"/>
      <c r="X1178" s="1175"/>
      <c r="Y1178" s="1175"/>
      <c r="Z1178" s="1175"/>
      <c r="AA1178" s="1176"/>
      <c r="AB1178" s="1176"/>
      <c r="AC1178" s="1176"/>
    </row>
    <row r="1179" spans="16:29">
      <c r="P1179" s="1175"/>
      <c r="Q1179" s="1175"/>
      <c r="R1179" s="1175"/>
      <c r="S1179" s="1175"/>
      <c r="T1179" s="1175"/>
      <c r="U1179" s="1175"/>
      <c r="V1179" s="1175"/>
      <c r="W1179" s="1175"/>
      <c r="X1179" s="1175"/>
      <c r="Y1179" s="1175"/>
      <c r="Z1179" s="1175"/>
      <c r="AA1179" s="1176"/>
      <c r="AB1179" s="1176"/>
      <c r="AC1179" s="1176"/>
    </row>
    <row r="1180" spans="16:29">
      <c r="P1180" s="1175"/>
      <c r="Q1180" s="1175"/>
      <c r="R1180" s="1175"/>
      <c r="S1180" s="1175"/>
      <c r="T1180" s="1175"/>
      <c r="U1180" s="1175"/>
      <c r="V1180" s="1175"/>
      <c r="W1180" s="1175"/>
      <c r="X1180" s="1175"/>
      <c r="Y1180" s="1175"/>
      <c r="Z1180" s="1175"/>
      <c r="AA1180" s="1176"/>
      <c r="AB1180" s="1176"/>
      <c r="AC1180" s="1176"/>
    </row>
    <row r="1181" spans="16:29">
      <c r="P1181" s="1175"/>
      <c r="Q1181" s="1175"/>
      <c r="R1181" s="1175"/>
      <c r="S1181" s="1175"/>
      <c r="T1181" s="1175"/>
      <c r="U1181" s="1175"/>
      <c r="V1181" s="1175"/>
      <c r="W1181" s="1175"/>
      <c r="X1181" s="1175"/>
      <c r="Y1181" s="1175"/>
      <c r="Z1181" s="1175"/>
      <c r="AA1181" s="1176"/>
      <c r="AB1181" s="1176"/>
      <c r="AC1181" s="1176"/>
    </row>
    <row r="1182" spans="16:29">
      <c r="P1182" s="1175"/>
      <c r="Q1182" s="1175"/>
      <c r="R1182" s="1175"/>
      <c r="S1182" s="1175"/>
      <c r="T1182" s="1175"/>
      <c r="U1182" s="1175"/>
      <c r="V1182" s="1175"/>
      <c r="W1182" s="1175"/>
      <c r="X1182" s="1175"/>
      <c r="Y1182" s="1175"/>
      <c r="Z1182" s="1175"/>
      <c r="AA1182" s="1176"/>
      <c r="AB1182" s="1176"/>
      <c r="AC1182" s="1176"/>
    </row>
    <row r="1183" spans="16:29">
      <c r="P1183" s="1175"/>
      <c r="Q1183" s="1175"/>
      <c r="R1183" s="1175"/>
      <c r="S1183" s="1175"/>
      <c r="T1183" s="1175"/>
      <c r="U1183" s="1175"/>
      <c r="V1183" s="1175"/>
      <c r="W1183" s="1175"/>
      <c r="X1183" s="1175"/>
      <c r="Y1183" s="1175"/>
      <c r="Z1183" s="1175"/>
      <c r="AA1183" s="1176"/>
      <c r="AB1183" s="1176"/>
      <c r="AC1183" s="1176"/>
    </row>
    <row r="1184" spans="16:29">
      <c r="P1184" s="1175"/>
      <c r="Q1184" s="1175"/>
      <c r="R1184" s="1175"/>
      <c r="S1184" s="1175"/>
      <c r="T1184" s="1175"/>
      <c r="U1184" s="1175"/>
      <c r="V1184" s="1175"/>
      <c r="W1184" s="1175"/>
      <c r="X1184" s="1175"/>
      <c r="Y1184" s="1175"/>
      <c r="Z1184" s="1175"/>
      <c r="AA1184" s="1176"/>
      <c r="AB1184" s="1176"/>
      <c r="AC1184" s="1176"/>
    </row>
    <row r="1185" spans="16:29">
      <c r="P1185" s="1175"/>
      <c r="Q1185" s="1175"/>
      <c r="R1185" s="1175"/>
      <c r="S1185" s="1175"/>
      <c r="T1185" s="1175"/>
      <c r="U1185" s="1175"/>
      <c r="V1185" s="1175"/>
      <c r="W1185" s="1175"/>
      <c r="X1185" s="1175"/>
      <c r="Y1185" s="1175"/>
      <c r="Z1185" s="1175"/>
      <c r="AA1185" s="1176"/>
      <c r="AB1185" s="1176"/>
      <c r="AC1185" s="1176"/>
    </row>
    <row r="1186" spans="16:29">
      <c r="P1186" s="1175"/>
      <c r="Q1186" s="1175"/>
      <c r="R1186" s="1175"/>
      <c r="S1186" s="1175"/>
      <c r="T1186" s="1175"/>
      <c r="U1186" s="1175"/>
      <c r="V1186" s="1175"/>
      <c r="W1186" s="1175"/>
      <c r="X1186" s="1175"/>
      <c r="Y1186" s="1175"/>
      <c r="Z1186" s="1175"/>
      <c r="AA1186" s="1176"/>
      <c r="AB1186" s="1176"/>
      <c r="AC1186" s="1176"/>
    </row>
    <row r="1187" spans="16:29">
      <c r="P1187" s="1175"/>
      <c r="Q1187" s="1175"/>
      <c r="R1187" s="1175"/>
      <c r="S1187" s="1175"/>
      <c r="T1187" s="1175"/>
      <c r="U1187" s="1175"/>
      <c r="V1187" s="1175"/>
      <c r="W1187" s="1175"/>
      <c r="X1187" s="1175"/>
      <c r="Y1187" s="1175"/>
      <c r="Z1187" s="1175"/>
      <c r="AA1187" s="1176"/>
      <c r="AB1187" s="1176"/>
      <c r="AC1187" s="1176"/>
    </row>
    <row r="1188" spans="16:29">
      <c r="P1188" s="1175"/>
      <c r="Q1188" s="1175"/>
      <c r="R1188" s="1175"/>
      <c r="S1188" s="1175"/>
      <c r="T1188" s="1175"/>
      <c r="U1188" s="1175"/>
      <c r="V1188" s="1175"/>
      <c r="W1188" s="1175"/>
      <c r="X1188" s="1175"/>
      <c r="Y1188" s="1175"/>
      <c r="Z1188" s="1175"/>
      <c r="AA1188" s="1176"/>
      <c r="AB1188" s="1176"/>
      <c r="AC1188" s="1176"/>
    </row>
    <row r="1189" spans="16:29">
      <c r="P1189" s="1175"/>
      <c r="Q1189" s="1175"/>
      <c r="R1189" s="1175"/>
      <c r="S1189" s="1175"/>
      <c r="T1189" s="1175"/>
      <c r="U1189" s="1175"/>
      <c r="V1189" s="1175"/>
      <c r="W1189" s="1175"/>
      <c r="X1189" s="1175"/>
      <c r="Y1189" s="1175"/>
      <c r="Z1189" s="1175"/>
      <c r="AA1189" s="1176"/>
      <c r="AB1189" s="1176"/>
      <c r="AC1189" s="1176"/>
    </row>
    <row r="1190" spans="16:29">
      <c r="P1190" s="1175"/>
      <c r="Q1190" s="1175"/>
      <c r="R1190" s="1175"/>
      <c r="S1190" s="1175"/>
      <c r="T1190" s="1175"/>
      <c r="U1190" s="1175"/>
      <c r="V1190" s="1175"/>
      <c r="W1190" s="1175"/>
      <c r="X1190" s="1175"/>
      <c r="Y1190" s="1175"/>
      <c r="Z1190" s="1175"/>
      <c r="AA1190" s="1176"/>
      <c r="AB1190" s="1176"/>
      <c r="AC1190" s="1176"/>
    </row>
    <row r="1191" spans="16:29">
      <c r="P1191" s="1175"/>
      <c r="Q1191" s="1175"/>
      <c r="R1191" s="1175"/>
      <c r="S1191" s="1175"/>
      <c r="T1191" s="1175"/>
      <c r="U1191" s="1175"/>
      <c r="V1191" s="1175"/>
      <c r="W1191" s="1175"/>
      <c r="X1191" s="1175"/>
      <c r="Y1191" s="1175"/>
      <c r="Z1191" s="1175"/>
      <c r="AA1191" s="1176"/>
      <c r="AB1191" s="1176"/>
      <c r="AC1191" s="1176"/>
    </row>
    <row r="1192" spans="16:29">
      <c r="P1192" s="1175"/>
      <c r="Q1192" s="1175"/>
      <c r="R1192" s="1175"/>
      <c r="S1192" s="1175"/>
      <c r="T1192" s="1175"/>
      <c r="U1192" s="1175"/>
      <c r="V1192" s="1175"/>
      <c r="W1192" s="1175"/>
      <c r="X1192" s="1175"/>
      <c r="Y1192" s="1175"/>
      <c r="Z1192" s="1175"/>
      <c r="AA1192" s="1176"/>
      <c r="AB1192" s="1176"/>
      <c r="AC1192" s="1176"/>
    </row>
    <row r="1193" spans="16:29">
      <c r="P1193" s="1175"/>
      <c r="Q1193" s="1175"/>
      <c r="R1193" s="1175"/>
      <c r="S1193" s="1175"/>
      <c r="T1193" s="1175"/>
      <c r="U1193" s="1175"/>
      <c r="V1193" s="1175"/>
      <c r="W1193" s="1175"/>
      <c r="X1193" s="1175"/>
      <c r="Y1193" s="1175"/>
      <c r="Z1193" s="1175"/>
      <c r="AA1193" s="1176"/>
      <c r="AB1193" s="1176"/>
      <c r="AC1193" s="1176"/>
    </row>
    <row r="1194" spans="16:29">
      <c r="P1194" s="1175"/>
      <c r="Q1194" s="1175"/>
      <c r="R1194" s="1175"/>
      <c r="S1194" s="1175"/>
      <c r="T1194" s="1175"/>
      <c r="U1194" s="1175"/>
      <c r="V1194" s="1175"/>
      <c r="W1194" s="1175"/>
      <c r="X1194" s="1175"/>
      <c r="Y1194" s="1175"/>
      <c r="Z1194" s="1175"/>
      <c r="AA1194" s="1176"/>
      <c r="AB1194" s="1176"/>
      <c r="AC1194" s="1176"/>
    </row>
    <row r="1195" spans="16:29">
      <c r="P1195" s="1175"/>
      <c r="Q1195" s="1175"/>
      <c r="R1195" s="1175"/>
      <c r="S1195" s="1175"/>
      <c r="T1195" s="1175"/>
      <c r="U1195" s="1175"/>
      <c r="V1195" s="1175"/>
      <c r="W1195" s="1175"/>
      <c r="X1195" s="1175"/>
      <c r="Y1195" s="1175"/>
      <c r="Z1195" s="1175"/>
      <c r="AA1195" s="1176"/>
      <c r="AB1195" s="1176"/>
      <c r="AC1195" s="1176"/>
    </row>
    <row r="1196" spans="16:29">
      <c r="P1196" s="1175"/>
      <c r="Q1196" s="1175"/>
      <c r="R1196" s="1175"/>
      <c r="S1196" s="1175"/>
      <c r="T1196" s="1175"/>
      <c r="U1196" s="1175"/>
      <c r="V1196" s="1175"/>
      <c r="W1196" s="1175"/>
      <c r="X1196" s="1175"/>
      <c r="Y1196" s="1175"/>
      <c r="Z1196" s="1175"/>
      <c r="AA1196" s="1176"/>
      <c r="AB1196" s="1176"/>
      <c r="AC1196" s="1176"/>
    </row>
    <row r="1197" spans="16:29">
      <c r="P1197" s="1175"/>
      <c r="Q1197" s="1175"/>
      <c r="R1197" s="1175"/>
      <c r="S1197" s="1175"/>
      <c r="T1197" s="1175"/>
      <c r="U1197" s="1175"/>
      <c r="V1197" s="1175"/>
      <c r="W1197" s="1175"/>
      <c r="X1197" s="1175"/>
      <c r="Y1197" s="1175"/>
      <c r="Z1197" s="1175"/>
      <c r="AA1197" s="1176"/>
      <c r="AB1197" s="1176"/>
      <c r="AC1197" s="1176"/>
    </row>
    <row r="1198" spans="16:29">
      <c r="P1198" s="1175"/>
      <c r="Q1198" s="1175"/>
      <c r="R1198" s="1175"/>
      <c r="S1198" s="1175"/>
      <c r="T1198" s="1175"/>
      <c r="U1198" s="1175"/>
      <c r="V1198" s="1175"/>
      <c r="W1198" s="1175"/>
      <c r="X1198" s="1175"/>
      <c r="Y1198" s="1175"/>
      <c r="Z1198" s="1175"/>
      <c r="AA1198" s="1176"/>
      <c r="AB1198" s="1176"/>
      <c r="AC1198" s="1176"/>
    </row>
    <row r="1199" spans="16:29">
      <c r="P1199" s="1175"/>
      <c r="Q1199" s="1175"/>
      <c r="R1199" s="1175"/>
      <c r="S1199" s="1175"/>
      <c r="T1199" s="1175"/>
      <c r="U1199" s="1175"/>
      <c r="V1199" s="1175"/>
      <c r="W1199" s="1175"/>
      <c r="X1199" s="1175"/>
      <c r="Y1199" s="1175"/>
      <c r="Z1199" s="1175"/>
      <c r="AA1199" s="1176"/>
      <c r="AB1199" s="1176"/>
      <c r="AC1199" s="1176"/>
    </row>
    <row r="1200" spans="16:29">
      <c r="P1200" s="1175"/>
      <c r="Q1200" s="1175"/>
      <c r="R1200" s="1175"/>
      <c r="S1200" s="1175"/>
      <c r="T1200" s="1175"/>
      <c r="U1200" s="1175"/>
      <c r="V1200" s="1175"/>
      <c r="W1200" s="1175"/>
      <c r="X1200" s="1175"/>
      <c r="Y1200" s="1175"/>
      <c r="Z1200" s="1175"/>
      <c r="AA1200" s="1176"/>
      <c r="AB1200" s="1176"/>
      <c r="AC1200" s="1176"/>
    </row>
    <row r="1201" spans="16:29">
      <c r="P1201" s="1175"/>
      <c r="Q1201" s="1175"/>
      <c r="R1201" s="1175"/>
      <c r="S1201" s="1175"/>
      <c r="T1201" s="1175"/>
      <c r="U1201" s="1175"/>
      <c r="V1201" s="1175"/>
      <c r="W1201" s="1175"/>
      <c r="X1201" s="1175"/>
      <c r="Y1201" s="1175"/>
      <c r="Z1201" s="1175"/>
      <c r="AA1201" s="1176"/>
      <c r="AB1201" s="1176"/>
      <c r="AC1201" s="1176"/>
    </row>
    <row r="1202" spans="16:29">
      <c r="P1202" s="1175"/>
      <c r="Q1202" s="1175"/>
      <c r="R1202" s="1175"/>
      <c r="S1202" s="1175"/>
      <c r="T1202" s="1175"/>
      <c r="U1202" s="1175"/>
      <c r="V1202" s="1175"/>
      <c r="W1202" s="1175"/>
      <c r="X1202" s="1175"/>
      <c r="Y1202" s="1175"/>
      <c r="Z1202" s="1175"/>
      <c r="AA1202" s="1176"/>
      <c r="AB1202" s="1176"/>
      <c r="AC1202" s="1176"/>
    </row>
    <row r="1203" spans="16:29">
      <c r="P1203" s="1175"/>
      <c r="Q1203" s="1175"/>
      <c r="R1203" s="1175"/>
      <c r="S1203" s="1175"/>
      <c r="T1203" s="1175"/>
      <c r="U1203" s="1175"/>
      <c r="V1203" s="1175"/>
      <c r="W1203" s="1175"/>
      <c r="X1203" s="1175"/>
      <c r="Y1203" s="1175"/>
      <c r="Z1203" s="1175"/>
      <c r="AA1203" s="1176"/>
      <c r="AB1203" s="1176"/>
      <c r="AC1203" s="1176"/>
    </row>
    <row r="1204" spans="16:29">
      <c r="P1204" s="1175"/>
      <c r="Q1204" s="1175"/>
      <c r="R1204" s="1175"/>
      <c r="S1204" s="1175"/>
      <c r="T1204" s="1175"/>
      <c r="U1204" s="1175"/>
      <c r="V1204" s="1175"/>
      <c r="W1204" s="1175"/>
      <c r="X1204" s="1175"/>
      <c r="Y1204" s="1175"/>
      <c r="Z1204" s="1175"/>
      <c r="AA1204" s="1176"/>
      <c r="AB1204" s="1176"/>
      <c r="AC1204" s="1176"/>
    </row>
    <row r="1205" spans="16:29">
      <c r="P1205" s="1175"/>
      <c r="Q1205" s="1175"/>
      <c r="R1205" s="1175"/>
      <c r="S1205" s="1175"/>
      <c r="T1205" s="1175"/>
      <c r="U1205" s="1175"/>
      <c r="V1205" s="1175"/>
      <c r="W1205" s="1175"/>
      <c r="X1205" s="1175"/>
      <c r="Y1205" s="1175"/>
      <c r="Z1205" s="1175"/>
      <c r="AA1205" s="1176"/>
      <c r="AB1205" s="1176"/>
      <c r="AC1205" s="1176"/>
    </row>
    <row r="1206" spans="16:29">
      <c r="P1206" s="1175"/>
      <c r="Q1206" s="1175"/>
      <c r="R1206" s="1175"/>
      <c r="S1206" s="1175"/>
      <c r="T1206" s="1175"/>
      <c r="U1206" s="1175"/>
      <c r="V1206" s="1175"/>
      <c r="W1206" s="1175"/>
      <c r="X1206" s="1175"/>
      <c r="Y1206" s="1175"/>
      <c r="Z1206" s="1175"/>
      <c r="AA1206" s="1176"/>
      <c r="AB1206" s="1176"/>
      <c r="AC1206" s="1176"/>
    </row>
    <row r="1207" spans="16:29">
      <c r="P1207" s="1175"/>
      <c r="Q1207" s="1175"/>
      <c r="R1207" s="1175"/>
      <c r="S1207" s="1175"/>
      <c r="T1207" s="1175"/>
      <c r="U1207" s="1175"/>
      <c r="V1207" s="1175"/>
      <c r="W1207" s="1175"/>
      <c r="X1207" s="1175"/>
      <c r="Y1207" s="1175"/>
      <c r="Z1207" s="1175"/>
      <c r="AA1207" s="1176"/>
      <c r="AB1207" s="1176"/>
      <c r="AC1207" s="1176"/>
    </row>
    <row r="1208" spans="16:29">
      <c r="P1208" s="1175"/>
      <c r="Q1208" s="1175"/>
      <c r="R1208" s="1175"/>
      <c r="S1208" s="1175"/>
      <c r="T1208" s="1175"/>
      <c r="U1208" s="1175"/>
      <c r="V1208" s="1175"/>
      <c r="W1208" s="1175"/>
      <c r="X1208" s="1175"/>
      <c r="Y1208" s="1175"/>
      <c r="Z1208" s="1175"/>
      <c r="AA1208" s="1176"/>
      <c r="AB1208" s="1176"/>
      <c r="AC1208" s="1176"/>
    </row>
    <row r="1209" spans="16:29">
      <c r="P1209" s="1175"/>
      <c r="Q1209" s="1175"/>
      <c r="R1209" s="1175"/>
      <c r="S1209" s="1175"/>
      <c r="T1209" s="1175"/>
      <c r="U1209" s="1175"/>
      <c r="V1209" s="1175"/>
      <c r="W1209" s="1175"/>
      <c r="X1209" s="1175"/>
      <c r="Y1209" s="1175"/>
      <c r="Z1209" s="1175"/>
      <c r="AA1209" s="1176"/>
      <c r="AB1209" s="1176"/>
      <c r="AC1209" s="1176"/>
    </row>
    <row r="1210" spans="16:29">
      <c r="P1210" s="1175"/>
      <c r="Q1210" s="1175"/>
      <c r="R1210" s="1175"/>
      <c r="S1210" s="1175"/>
      <c r="T1210" s="1175"/>
      <c r="U1210" s="1175"/>
      <c r="V1210" s="1175"/>
      <c r="W1210" s="1175"/>
      <c r="X1210" s="1175"/>
      <c r="Y1210" s="1175"/>
      <c r="Z1210" s="1175"/>
      <c r="AA1210" s="1176"/>
      <c r="AB1210" s="1176"/>
      <c r="AC1210" s="1176"/>
    </row>
    <row r="1211" spans="16:29">
      <c r="P1211" s="1175"/>
      <c r="Q1211" s="1175"/>
      <c r="R1211" s="1175"/>
      <c r="S1211" s="1175"/>
      <c r="T1211" s="1175"/>
      <c r="U1211" s="1175"/>
      <c r="V1211" s="1175"/>
      <c r="W1211" s="1175"/>
      <c r="X1211" s="1175"/>
      <c r="Y1211" s="1175"/>
      <c r="Z1211" s="1175"/>
      <c r="AA1211" s="1176"/>
      <c r="AB1211" s="1176"/>
      <c r="AC1211" s="1176"/>
    </row>
    <row r="1212" spans="16:29">
      <c r="P1212" s="1175"/>
      <c r="Q1212" s="1175"/>
      <c r="R1212" s="1175"/>
      <c r="S1212" s="1175"/>
      <c r="T1212" s="1175"/>
      <c r="U1212" s="1175"/>
      <c r="V1212" s="1175"/>
      <c r="W1212" s="1175"/>
      <c r="X1212" s="1175"/>
      <c r="Y1212" s="1175"/>
      <c r="Z1212" s="1175"/>
      <c r="AA1212" s="1176"/>
      <c r="AB1212" s="1176"/>
      <c r="AC1212" s="1176"/>
    </row>
    <row r="1213" spans="16:29">
      <c r="P1213" s="1175"/>
      <c r="Q1213" s="1175"/>
      <c r="R1213" s="1175"/>
      <c r="S1213" s="1175"/>
      <c r="T1213" s="1175"/>
      <c r="U1213" s="1175"/>
      <c r="V1213" s="1175"/>
      <c r="W1213" s="1175"/>
      <c r="X1213" s="1175"/>
      <c r="Y1213" s="1175"/>
      <c r="Z1213" s="1175"/>
      <c r="AA1213" s="1176"/>
      <c r="AB1213" s="1176"/>
      <c r="AC1213" s="1176"/>
    </row>
    <row r="1214" spans="16:29">
      <c r="P1214" s="1175"/>
      <c r="Q1214" s="1175"/>
      <c r="R1214" s="1175"/>
      <c r="S1214" s="1175"/>
      <c r="T1214" s="1175"/>
      <c r="U1214" s="1175"/>
      <c r="V1214" s="1175"/>
      <c r="W1214" s="1175"/>
      <c r="X1214" s="1175"/>
      <c r="Y1214" s="1175"/>
      <c r="Z1214" s="1175"/>
      <c r="AA1214" s="1176"/>
      <c r="AB1214" s="1176"/>
      <c r="AC1214" s="1176"/>
    </row>
    <row r="1215" spans="16:29">
      <c r="P1215" s="1175"/>
      <c r="Q1215" s="1175"/>
      <c r="R1215" s="1175"/>
      <c r="S1215" s="1175"/>
      <c r="T1215" s="1175"/>
      <c r="U1215" s="1175"/>
      <c r="V1215" s="1175"/>
      <c r="W1215" s="1175"/>
      <c r="X1215" s="1175"/>
      <c r="Y1215" s="1175"/>
      <c r="Z1215" s="1175"/>
      <c r="AA1215" s="1176"/>
      <c r="AB1215" s="1176"/>
      <c r="AC1215" s="1176"/>
    </row>
    <row r="1216" spans="16:29">
      <c r="P1216" s="1175"/>
      <c r="Q1216" s="1175"/>
      <c r="R1216" s="1175"/>
      <c r="S1216" s="1175"/>
      <c r="T1216" s="1175"/>
      <c r="U1216" s="1175"/>
      <c r="V1216" s="1175"/>
      <c r="W1216" s="1175"/>
      <c r="X1216" s="1175"/>
      <c r="Y1216" s="1175"/>
      <c r="Z1216" s="1175"/>
      <c r="AA1216" s="1176"/>
      <c r="AB1216" s="1176"/>
      <c r="AC1216" s="1176"/>
    </row>
    <row r="1217" spans="16:29">
      <c r="P1217" s="1175"/>
      <c r="Q1217" s="1175"/>
      <c r="R1217" s="1175"/>
      <c r="S1217" s="1175"/>
      <c r="T1217" s="1175"/>
      <c r="U1217" s="1175"/>
      <c r="V1217" s="1175"/>
      <c r="W1217" s="1175"/>
      <c r="X1217" s="1175"/>
      <c r="Y1217" s="1175"/>
      <c r="Z1217" s="1175"/>
      <c r="AA1217" s="1176"/>
      <c r="AB1217" s="1176"/>
      <c r="AC1217" s="1176"/>
    </row>
    <row r="1218" spans="16:29">
      <c r="P1218" s="1175"/>
      <c r="Q1218" s="1175"/>
      <c r="R1218" s="1175"/>
      <c r="S1218" s="1175"/>
      <c r="T1218" s="1175"/>
      <c r="U1218" s="1175"/>
      <c r="V1218" s="1175"/>
      <c r="W1218" s="1175"/>
      <c r="X1218" s="1175"/>
      <c r="Y1218" s="1175"/>
      <c r="Z1218" s="1175"/>
      <c r="AA1218" s="1176"/>
      <c r="AB1218" s="1176"/>
      <c r="AC1218" s="1176"/>
    </row>
    <row r="1219" spans="16:29">
      <c r="P1219" s="1175"/>
      <c r="Q1219" s="1175"/>
      <c r="R1219" s="1175"/>
      <c r="S1219" s="1175"/>
      <c r="T1219" s="1175"/>
      <c r="U1219" s="1175"/>
      <c r="V1219" s="1175"/>
      <c r="W1219" s="1175"/>
      <c r="X1219" s="1175"/>
      <c r="Y1219" s="1175"/>
      <c r="Z1219" s="1175"/>
      <c r="AA1219" s="1176"/>
      <c r="AB1219" s="1176"/>
      <c r="AC1219" s="1176"/>
    </row>
    <row r="1220" spans="16:29">
      <c r="P1220" s="1175"/>
      <c r="Q1220" s="1175"/>
      <c r="R1220" s="1175"/>
      <c r="S1220" s="1175"/>
      <c r="T1220" s="1175"/>
      <c r="U1220" s="1175"/>
      <c r="V1220" s="1175"/>
      <c r="W1220" s="1175"/>
      <c r="X1220" s="1175"/>
      <c r="Y1220" s="1175"/>
      <c r="Z1220" s="1175"/>
      <c r="AA1220" s="1176"/>
      <c r="AB1220" s="1176"/>
      <c r="AC1220" s="1176"/>
    </row>
    <row r="1221" spans="16:29">
      <c r="P1221" s="1175"/>
      <c r="Q1221" s="1175"/>
      <c r="R1221" s="1175"/>
      <c r="S1221" s="1175"/>
      <c r="T1221" s="1175"/>
      <c r="U1221" s="1175"/>
      <c r="V1221" s="1175"/>
      <c r="W1221" s="1175"/>
      <c r="X1221" s="1175"/>
      <c r="Y1221" s="1175"/>
      <c r="Z1221" s="1175"/>
      <c r="AA1221" s="1176"/>
      <c r="AB1221" s="1176"/>
      <c r="AC1221" s="1176"/>
    </row>
    <row r="1222" spans="16:29">
      <c r="P1222" s="1175"/>
      <c r="Q1222" s="1175"/>
      <c r="R1222" s="1175"/>
      <c r="S1222" s="1175"/>
      <c r="T1222" s="1175"/>
      <c r="U1222" s="1175"/>
      <c r="V1222" s="1175"/>
      <c r="W1222" s="1175"/>
      <c r="X1222" s="1175"/>
      <c r="Y1222" s="1175"/>
      <c r="Z1222" s="1175"/>
      <c r="AA1222" s="1176"/>
      <c r="AB1222" s="1176"/>
      <c r="AC1222" s="1176"/>
    </row>
    <row r="1223" spans="16:29">
      <c r="P1223" s="1175"/>
      <c r="Q1223" s="1175"/>
      <c r="R1223" s="1175"/>
      <c r="S1223" s="1175"/>
      <c r="T1223" s="1175"/>
      <c r="U1223" s="1175"/>
      <c r="V1223" s="1175"/>
      <c r="W1223" s="1175"/>
      <c r="X1223" s="1175"/>
      <c r="Y1223" s="1175"/>
      <c r="Z1223" s="1175"/>
      <c r="AA1223" s="1176"/>
      <c r="AB1223" s="1176"/>
      <c r="AC1223" s="1176"/>
    </row>
    <row r="1224" spans="16:29">
      <c r="P1224" s="1175"/>
      <c r="Q1224" s="1175"/>
      <c r="R1224" s="1175"/>
      <c r="S1224" s="1175"/>
      <c r="T1224" s="1175"/>
      <c r="U1224" s="1175"/>
      <c r="V1224" s="1175"/>
      <c r="W1224" s="1175"/>
      <c r="X1224" s="1175"/>
      <c r="Y1224" s="1175"/>
      <c r="Z1224" s="1175"/>
      <c r="AA1224" s="1176"/>
      <c r="AB1224" s="1176"/>
      <c r="AC1224" s="1176"/>
    </row>
    <row r="1225" spans="16:29">
      <c r="P1225" s="1175"/>
      <c r="Q1225" s="1175"/>
      <c r="R1225" s="1175"/>
      <c r="S1225" s="1175"/>
      <c r="T1225" s="1175"/>
      <c r="U1225" s="1175"/>
      <c r="V1225" s="1175"/>
      <c r="W1225" s="1175"/>
      <c r="X1225" s="1175"/>
      <c r="Y1225" s="1175"/>
      <c r="Z1225" s="1175"/>
      <c r="AA1225" s="1176"/>
      <c r="AB1225" s="1176"/>
      <c r="AC1225" s="1176"/>
    </row>
    <row r="1226" spans="16:29">
      <c r="P1226" s="1175"/>
      <c r="Q1226" s="1175"/>
      <c r="R1226" s="1175"/>
      <c r="S1226" s="1175"/>
      <c r="T1226" s="1175"/>
      <c r="U1226" s="1175"/>
      <c r="V1226" s="1175"/>
      <c r="W1226" s="1175"/>
      <c r="X1226" s="1175"/>
      <c r="Y1226" s="1175"/>
      <c r="Z1226" s="1175"/>
      <c r="AA1226" s="1176"/>
      <c r="AB1226" s="1176"/>
      <c r="AC1226" s="1176"/>
    </row>
    <row r="1227" spans="16:29">
      <c r="P1227" s="1175"/>
      <c r="Q1227" s="1175"/>
      <c r="R1227" s="1175"/>
      <c r="S1227" s="1175"/>
      <c r="T1227" s="1175"/>
      <c r="U1227" s="1175"/>
      <c r="V1227" s="1175"/>
      <c r="W1227" s="1175"/>
      <c r="X1227" s="1175"/>
      <c r="Y1227" s="1175"/>
      <c r="Z1227" s="1175"/>
      <c r="AA1227" s="1176"/>
      <c r="AB1227" s="1176"/>
      <c r="AC1227" s="1176"/>
    </row>
    <row r="1228" spans="16:29">
      <c r="P1228" s="1175"/>
      <c r="Q1228" s="1175"/>
      <c r="R1228" s="1175"/>
      <c r="S1228" s="1175"/>
      <c r="T1228" s="1175"/>
      <c r="U1228" s="1175"/>
      <c r="V1228" s="1175"/>
      <c r="W1228" s="1175"/>
      <c r="X1228" s="1175"/>
      <c r="Y1228" s="1175"/>
      <c r="Z1228" s="1175"/>
      <c r="AA1228" s="1176"/>
      <c r="AB1228" s="1176"/>
      <c r="AC1228" s="1176"/>
    </row>
    <row r="1229" spans="16:29">
      <c r="P1229" s="1175"/>
      <c r="Q1229" s="1175"/>
      <c r="R1229" s="1175"/>
      <c r="S1229" s="1175"/>
      <c r="T1229" s="1175"/>
      <c r="U1229" s="1175"/>
      <c r="V1229" s="1175"/>
      <c r="W1229" s="1175"/>
      <c r="X1229" s="1175"/>
      <c r="Y1229" s="1175"/>
      <c r="Z1229" s="1175"/>
      <c r="AA1229" s="1176"/>
      <c r="AB1229" s="1176"/>
      <c r="AC1229" s="1176"/>
    </row>
    <row r="1230" spans="16:29">
      <c r="P1230" s="1175"/>
      <c r="Q1230" s="1175"/>
      <c r="R1230" s="1175"/>
      <c r="S1230" s="1175"/>
      <c r="T1230" s="1175"/>
      <c r="U1230" s="1175"/>
      <c r="V1230" s="1175"/>
      <c r="W1230" s="1175"/>
      <c r="X1230" s="1175"/>
      <c r="Y1230" s="1175"/>
      <c r="Z1230" s="1175"/>
      <c r="AA1230" s="1176"/>
      <c r="AB1230" s="1176"/>
      <c r="AC1230" s="1176"/>
    </row>
    <row r="1231" spans="16:29">
      <c r="P1231" s="1175"/>
      <c r="Q1231" s="1175"/>
      <c r="R1231" s="1175"/>
      <c r="S1231" s="1175"/>
      <c r="T1231" s="1175"/>
      <c r="U1231" s="1175"/>
      <c r="V1231" s="1175"/>
      <c r="W1231" s="1175"/>
      <c r="X1231" s="1175"/>
      <c r="Y1231" s="1175"/>
      <c r="Z1231" s="1175"/>
      <c r="AA1231" s="1176"/>
      <c r="AB1231" s="1176"/>
      <c r="AC1231" s="1176"/>
    </row>
    <row r="1232" spans="16:29">
      <c r="P1232" s="1175"/>
      <c r="Q1232" s="1175"/>
      <c r="R1232" s="1175"/>
      <c r="S1232" s="1175"/>
      <c r="T1232" s="1175"/>
      <c r="U1232" s="1175"/>
      <c r="V1232" s="1175"/>
      <c r="W1232" s="1175"/>
      <c r="X1232" s="1175"/>
      <c r="Y1232" s="1175"/>
      <c r="Z1232" s="1175"/>
      <c r="AA1232" s="1176"/>
      <c r="AB1232" s="1176"/>
      <c r="AC1232" s="1176"/>
    </row>
    <row r="1233" spans="16:29">
      <c r="P1233" s="1175"/>
      <c r="Q1233" s="1175"/>
      <c r="R1233" s="1175"/>
      <c r="S1233" s="1175"/>
      <c r="T1233" s="1175"/>
      <c r="U1233" s="1175"/>
      <c r="V1233" s="1175"/>
      <c r="W1233" s="1175"/>
      <c r="X1233" s="1175"/>
      <c r="Y1233" s="1175"/>
      <c r="Z1233" s="1175"/>
      <c r="AA1233" s="1176"/>
      <c r="AB1233" s="1176"/>
      <c r="AC1233" s="1176"/>
    </row>
    <row r="1234" spans="16:29">
      <c r="P1234" s="1175"/>
      <c r="Q1234" s="1175"/>
      <c r="R1234" s="1175"/>
      <c r="S1234" s="1175"/>
      <c r="T1234" s="1175"/>
      <c r="U1234" s="1175"/>
      <c r="V1234" s="1175"/>
      <c r="W1234" s="1175"/>
      <c r="X1234" s="1175"/>
      <c r="Y1234" s="1175"/>
      <c r="Z1234" s="1175"/>
      <c r="AA1234" s="1176"/>
      <c r="AB1234" s="1176"/>
      <c r="AC1234" s="1176"/>
    </row>
    <row r="1235" spans="16:29">
      <c r="P1235" s="1175"/>
      <c r="Q1235" s="1175"/>
      <c r="R1235" s="1175"/>
      <c r="S1235" s="1175"/>
      <c r="T1235" s="1175"/>
      <c r="U1235" s="1175"/>
      <c r="V1235" s="1175"/>
      <c r="W1235" s="1175"/>
      <c r="X1235" s="1175"/>
      <c r="Y1235" s="1175"/>
      <c r="Z1235" s="1175"/>
      <c r="AA1235" s="1176"/>
      <c r="AB1235" s="1176"/>
      <c r="AC1235" s="1176"/>
    </row>
    <row r="1236" spans="16:29">
      <c r="P1236" s="1175"/>
      <c r="Q1236" s="1175"/>
      <c r="R1236" s="1175"/>
      <c r="S1236" s="1175"/>
      <c r="T1236" s="1175"/>
      <c r="U1236" s="1175"/>
      <c r="V1236" s="1175"/>
      <c r="W1236" s="1175"/>
      <c r="X1236" s="1175"/>
      <c r="Y1236" s="1175"/>
      <c r="Z1236" s="1175"/>
      <c r="AA1236" s="1176"/>
      <c r="AB1236" s="1176"/>
      <c r="AC1236" s="1176"/>
    </row>
    <row r="1237" spans="16:29">
      <c r="P1237" s="1175"/>
      <c r="Q1237" s="1175"/>
      <c r="R1237" s="1175"/>
      <c r="S1237" s="1175"/>
      <c r="T1237" s="1175"/>
      <c r="U1237" s="1175"/>
      <c r="V1237" s="1175"/>
      <c r="W1237" s="1175"/>
      <c r="X1237" s="1175"/>
      <c r="Y1237" s="1175"/>
      <c r="Z1237" s="1175"/>
      <c r="AA1237" s="1176"/>
      <c r="AB1237" s="1176"/>
      <c r="AC1237" s="1176"/>
    </row>
    <row r="1238" spans="16:29">
      <c r="P1238" s="1175"/>
      <c r="Q1238" s="1175"/>
      <c r="R1238" s="1175"/>
      <c r="S1238" s="1175"/>
      <c r="T1238" s="1175"/>
      <c r="U1238" s="1175"/>
      <c r="V1238" s="1175"/>
      <c r="W1238" s="1175"/>
      <c r="X1238" s="1175"/>
      <c r="Y1238" s="1175"/>
      <c r="Z1238" s="1175"/>
      <c r="AA1238" s="1176"/>
      <c r="AB1238" s="1176"/>
      <c r="AC1238" s="1176"/>
    </row>
    <row r="1239" spans="16:29">
      <c r="P1239" s="1175"/>
      <c r="Q1239" s="1175"/>
      <c r="R1239" s="1175"/>
      <c r="S1239" s="1175"/>
      <c r="T1239" s="1175"/>
      <c r="U1239" s="1175"/>
      <c r="V1239" s="1175"/>
      <c r="W1239" s="1175"/>
      <c r="X1239" s="1175"/>
      <c r="Y1239" s="1175"/>
      <c r="Z1239" s="1175"/>
      <c r="AA1239" s="1176"/>
      <c r="AB1239" s="1176"/>
      <c r="AC1239" s="1176"/>
    </row>
    <row r="1240" spans="16:29">
      <c r="P1240" s="1175"/>
      <c r="Q1240" s="1175"/>
      <c r="R1240" s="1175"/>
      <c r="S1240" s="1175"/>
      <c r="T1240" s="1175"/>
      <c r="U1240" s="1175"/>
      <c r="V1240" s="1175"/>
      <c r="W1240" s="1175"/>
      <c r="X1240" s="1175"/>
      <c r="Y1240" s="1175"/>
      <c r="Z1240" s="1175"/>
      <c r="AA1240" s="1176"/>
      <c r="AB1240" s="1176"/>
      <c r="AC1240" s="1176"/>
    </row>
    <row r="1241" spans="16:29">
      <c r="P1241" s="1175"/>
      <c r="Q1241" s="1175"/>
      <c r="R1241" s="1175"/>
      <c r="S1241" s="1175"/>
      <c r="T1241" s="1175"/>
      <c r="U1241" s="1175"/>
      <c r="V1241" s="1175"/>
      <c r="W1241" s="1175"/>
      <c r="X1241" s="1175"/>
      <c r="Y1241" s="1175"/>
      <c r="Z1241" s="1175"/>
      <c r="AA1241" s="1176"/>
      <c r="AB1241" s="1176"/>
      <c r="AC1241" s="1176"/>
    </row>
    <row r="1242" spans="16:29">
      <c r="P1242" s="1175"/>
      <c r="Q1242" s="1175"/>
      <c r="R1242" s="1175"/>
      <c r="S1242" s="1175"/>
      <c r="T1242" s="1175"/>
      <c r="U1242" s="1175"/>
      <c r="V1242" s="1175"/>
      <c r="W1242" s="1175"/>
      <c r="X1242" s="1175"/>
      <c r="Y1242" s="1175"/>
      <c r="Z1242" s="1175"/>
      <c r="AA1242" s="1176"/>
      <c r="AB1242" s="1176"/>
      <c r="AC1242" s="1176"/>
    </row>
    <row r="1243" spans="16:29">
      <c r="P1243" s="1175"/>
      <c r="Q1243" s="1175"/>
      <c r="R1243" s="1175"/>
      <c r="S1243" s="1175"/>
      <c r="T1243" s="1175"/>
      <c r="U1243" s="1175"/>
      <c r="V1243" s="1175"/>
      <c r="W1243" s="1175"/>
      <c r="X1243" s="1175"/>
      <c r="Y1243" s="1175"/>
      <c r="Z1243" s="1175"/>
      <c r="AA1243" s="1176"/>
      <c r="AB1243" s="1176"/>
      <c r="AC1243" s="1176"/>
    </row>
    <row r="1244" spans="16:29">
      <c r="P1244" s="1175"/>
      <c r="Q1244" s="1175"/>
      <c r="R1244" s="1175"/>
      <c r="S1244" s="1175"/>
      <c r="T1244" s="1175"/>
      <c r="U1244" s="1175"/>
      <c r="V1244" s="1175"/>
      <c r="W1244" s="1175"/>
      <c r="X1244" s="1175"/>
      <c r="Y1244" s="1175"/>
      <c r="Z1244" s="1175"/>
      <c r="AA1244" s="1176"/>
      <c r="AB1244" s="1176"/>
      <c r="AC1244" s="1176"/>
    </row>
    <row r="1245" spans="16:29">
      <c r="P1245" s="1175"/>
      <c r="Q1245" s="1175"/>
      <c r="R1245" s="1175"/>
      <c r="S1245" s="1175"/>
      <c r="T1245" s="1175"/>
      <c r="U1245" s="1175"/>
      <c r="V1245" s="1175"/>
      <c r="W1245" s="1175"/>
      <c r="X1245" s="1175"/>
      <c r="Y1245" s="1175"/>
      <c r="Z1245" s="1175"/>
      <c r="AA1245" s="1176"/>
      <c r="AB1245" s="1176"/>
      <c r="AC1245" s="1176"/>
    </row>
    <row r="1246" spans="16:29">
      <c r="P1246" s="1175"/>
      <c r="Q1246" s="1175"/>
      <c r="R1246" s="1175"/>
      <c r="S1246" s="1175"/>
      <c r="T1246" s="1175"/>
      <c r="U1246" s="1175"/>
      <c r="V1246" s="1175"/>
      <c r="W1246" s="1175"/>
      <c r="X1246" s="1175"/>
      <c r="Y1246" s="1175"/>
      <c r="Z1246" s="1175"/>
      <c r="AA1246" s="1176"/>
      <c r="AB1246" s="1176"/>
      <c r="AC1246" s="1176"/>
    </row>
    <row r="1247" spans="16:29">
      <c r="P1247" s="1175"/>
      <c r="Q1247" s="1175"/>
      <c r="R1247" s="1175"/>
      <c r="S1247" s="1175"/>
      <c r="T1247" s="1175"/>
      <c r="U1247" s="1175"/>
      <c r="V1247" s="1175"/>
      <c r="W1247" s="1175"/>
      <c r="X1247" s="1175"/>
      <c r="Y1247" s="1175"/>
      <c r="Z1247" s="1175"/>
      <c r="AA1247" s="1176"/>
      <c r="AB1247" s="1176"/>
      <c r="AC1247" s="1176"/>
    </row>
    <row r="1248" spans="16:29">
      <c r="P1248" s="1175"/>
      <c r="Q1248" s="1175"/>
      <c r="R1248" s="1175"/>
      <c r="S1248" s="1175"/>
      <c r="T1248" s="1175"/>
      <c r="U1248" s="1175"/>
      <c r="V1248" s="1175"/>
      <c r="W1248" s="1175"/>
      <c r="X1248" s="1175"/>
      <c r="Y1248" s="1175"/>
      <c r="Z1248" s="1175"/>
      <c r="AA1248" s="1176"/>
      <c r="AB1248" s="1176"/>
      <c r="AC1248" s="1176"/>
    </row>
    <row r="1249" spans="16:29">
      <c r="P1249" s="1175"/>
      <c r="Q1249" s="1175"/>
      <c r="R1249" s="1175"/>
      <c r="S1249" s="1175"/>
      <c r="T1249" s="1175"/>
      <c r="U1249" s="1175"/>
      <c r="V1249" s="1175"/>
      <c r="W1249" s="1175"/>
      <c r="X1249" s="1175"/>
      <c r="Y1249" s="1175"/>
      <c r="Z1249" s="1175"/>
      <c r="AA1249" s="1176"/>
      <c r="AB1249" s="1176"/>
      <c r="AC1249" s="1176"/>
    </row>
    <row r="1250" spans="16:29">
      <c r="P1250" s="1175"/>
      <c r="Q1250" s="1175"/>
      <c r="R1250" s="1175"/>
      <c r="S1250" s="1175"/>
      <c r="T1250" s="1175"/>
      <c r="U1250" s="1175"/>
      <c r="V1250" s="1175"/>
      <c r="W1250" s="1175"/>
      <c r="X1250" s="1175"/>
      <c r="Y1250" s="1175"/>
      <c r="Z1250" s="1175"/>
      <c r="AA1250" s="1176"/>
      <c r="AB1250" s="1176"/>
      <c r="AC1250" s="1176"/>
    </row>
    <row r="1251" spans="16:29">
      <c r="P1251" s="1175"/>
      <c r="Q1251" s="1175"/>
      <c r="R1251" s="1175"/>
      <c r="S1251" s="1175"/>
      <c r="T1251" s="1175"/>
      <c r="U1251" s="1175"/>
      <c r="V1251" s="1175"/>
      <c r="W1251" s="1175"/>
      <c r="X1251" s="1175"/>
      <c r="Y1251" s="1175"/>
      <c r="Z1251" s="1175"/>
      <c r="AA1251" s="1176"/>
      <c r="AB1251" s="1176"/>
      <c r="AC1251" s="1176"/>
    </row>
    <row r="1252" spans="16:29">
      <c r="P1252" s="1175"/>
      <c r="Q1252" s="1175"/>
      <c r="R1252" s="1175"/>
      <c r="S1252" s="1175"/>
      <c r="T1252" s="1175"/>
      <c r="U1252" s="1175"/>
      <c r="V1252" s="1175"/>
      <c r="W1252" s="1175"/>
      <c r="X1252" s="1175"/>
      <c r="Y1252" s="1175"/>
      <c r="Z1252" s="1175"/>
      <c r="AA1252" s="1176"/>
      <c r="AB1252" s="1176"/>
      <c r="AC1252" s="1176"/>
    </row>
    <row r="1253" spans="16:29">
      <c r="P1253" s="1175"/>
      <c r="Q1253" s="1175"/>
      <c r="R1253" s="1175"/>
      <c r="S1253" s="1175"/>
      <c r="T1253" s="1175"/>
      <c r="U1253" s="1175"/>
      <c r="V1253" s="1175"/>
      <c r="W1253" s="1175"/>
      <c r="X1253" s="1175"/>
      <c r="Y1253" s="1175"/>
      <c r="Z1253" s="1175"/>
      <c r="AA1253" s="1176"/>
      <c r="AB1253" s="1176"/>
      <c r="AC1253" s="1176"/>
    </row>
    <row r="1254" spans="16:29">
      <c r="P1254" s="1175"/>
      <c r="Q1254" s="1175"/>
      <c r="R1254" s="1175"/>
      <c r="S1254" s="1175"/>
      <c r="T1254" s="1175"/>
      <c r="U1254" s="1175"/>
      <c r="V1254" s="1175"/>
      <c r="W1254" s="1175"/>
      <c r="X1254" s="1175"/>
      <c r="Y1254" s="1175"/>
      <c r="Z1254" s="1175"/>
      <c r="AA1254" s="1176"/>
      <c r="AB1254" s="1176"/>
      <c r="AC1254" s="1176"/>
    </row>
    <row r="1255" spans="16:29">
      <c r="P1255" s="1175"/>
      <c r="Q1255" s="1175"/>
      <c r="R1255" s="1175"/>
      <c r="S1255" s="1175"/>
      <c r="T1255" s="1175"/>
      <c r="U1255" s="1175"/>
      <c r="V1255" s="1175"/>
      <c r="W1255" s="1175"/>
      <c r="X1255" s="1175"/>
      <c r="Y1255" s="1175"/>
      <c r="Z1255" s="1175"/>
      <c r="AA1255" s="1176"/>
      <c r="AB1255" s="1176"/>
      <c r="AC1255" s="1176"/>
    </row>
    <row r="1256" spans="16:29">
      <c r="P1256" s="1175"/>
      <c r="Q1256" s="1175"/>
      <c r="R1256" s="1175"/>
      <c r="S1256" s="1175"/>
      <c r="T1256" s="1175"/>
      <c r="U1256" s="1175"/>
      <c r="V1256" s="1175"/>
      <c r="W1256" s="1175"/>
      <c r="X1256" s="1175"/>
      <c r="Y1256" s="1175"/>
      <c r="Z1256" s="1175"/>
      <c r="AA1256" s="1176"/>
      <c r="AB1256" s="1176"/>
      <c r="AC1256" s="1176"/>
    </row>
    <row r="1257" spans="16:29">
      <c r="P1257" s="1175"/>
      <c r="Q1257" s="1175"/>
      <c r="R1257" s="1175"/>
      <c r="S1257" s="1175"/>
      <c r="T1257" s="1175"/>
      <c r="U1257" s="1175"/>
      <c r="V1257" s="1175"/>
      <c r="W1257" s="1175"/>
      <c r="X1257" s="1175"/>
      <c r="Y1257" s="1175"/>
      <c r="Z1257" s="1175"/>
      <c r="AA1257" s="1176"/>
      <c r="AB1257" s="1176"/>
      <c r="AC1257" s="1176"/>
    </row>
    <row r="1258" spans="16:29">
      <c r="P1258" s="1175"/>
      <c r="Q1258" s="1175"/>
      <c r="R1258" s="1175"/>
      <c r="S1258" s="1175"/>
      <c r="T1258" s="1175"/>
      <c r="U1258" s="1175"/>
      <c r="V1258" s="1175"/>
      <c r="W1258" s="1175"/>
      <c r="X1258" s="1175"/>
      <c r="Y1258" s="1175"/>
      <c r="Z1258" s="1175"/>
      <c r="AA1258" s="1176"/>
      <c r="AB1258" s="1176"/>
      <c r="AC1258" s="1176"/>
    </row>
    <row r="1259" spans="16:29">
      <c r="P1259" s="1175"/>
      <c r="Q1259" s="1175"/>
      <c r="R1259" s="1175"/>
      <c r="S1259" s="1175"/>
      <c r="T1259" s="1175"/>
      <c r="U1259" s="1175"/>
      <c r="V1259" s="1175"/>
      <c r="W1259" s="1175"/>
      <c r="X1259" s="1175"/>
      <c r="Y1259" s="1175"/>
      <c r="Z1259" s="1175"/>
      <c r="AA1259" s="1176"/>
      <c r="AB1259" s="1176"/>
      <c r="AC1259" s="1176"/>
    </row>
    <row r="1260" spans="16:29">
      <c r="P1260" s="1175"/>
      <c r="Q1260" s="1175"/>
      <c r="R1260" s="1175"/>
      <c r="S1260" s="1175"/>
      <c r="T1260" s="1175"/>
      <c r="U1260" s="1175"/>
      <c r="V1260" s="1175"/>
      <c r="W1260" s="1175"/>
      <c r="X1260" s="1175"/>
      <c r="Y1260" s="1175"/>
      <c r="Z1260" s="1175"/>
      <c r="AA1260" s="1176"/>
      <c r="AB1260" s="1176"/>
      <c r="AC1260" s="1176"/>
    </row>
    <row r="1261" spans="16:29">
      <c r="P1261" s="1175"/>
      <c r="Q1261" s="1175"/>
      <c r="R1261" s="1175"/>
      <c r="S1261" s="1175"/>
      <c r="T1261" s="1175"/>
      <c r="U1261" s="1175"/>
      <c r="V1261" s="1175"/>
      <c r="W1261" s="1175"/>
      <c r="X1261" s="1175"/>
      <c r="Y1261" s="1175"/>
      <c r="Z1261" s="1175"/>
      <c r="AA1261" s="1176"/>
      <c r="AB1261" s="1176"/>
      <c r="AC1261" s="1176"/>
    </row>
    <row r="1262" spans="16:29">
      <c r="P1262" s="1175"/>
      <c r="Q1262" s="1175"/>
      <c r="R1262" s="1175"/>
      <c r="S1262" s="1175"/>
      <c r="T1262" s="1175"/>
      <c r="U1262" s="1175"/>
      <c r="V1262" s="1175"/>
      <c r="W1262" s="1175"/>
      <c r="X1262" s="1175"/>
      <c r="Y1262" s="1175"/>
      <c r="Z1262" s="1175"/>
      <c r="AA1262" s="1176"/>
      <c r="AB1262" s="1176"/>
      <c r="AC1262" s="1176"/>
    </row>
    <row r="1263" spans="16:29">
      <c r="P1263" s="1175"/>
      <c r="Q1263" s="1175"/>
      <c r="R1263" s="1175"/>
      <c r="S1263" s="1175"/>
      <c r="T1263" s="1175"/>
      <c r="U1263" s="1175"/>
      <c r="V1263" s="1175"/>
      <c r="W1263" s="1175"/>
      <c r="X1263" s="1175"/>
      <c r="Y1263" s="1175"/>
      <c r="Z1263" s="1175"/>
      <c r="AA1263" s="1176"/>
      <c r="AB1263" s="1176"/>
      <c r="AC1263" s="1176"/>
    </row>
    <row r="1264" spans="16:29">
      <c r="P1264" s="1175"/>
      <c r="Q1264" s="1175"/>
      <c r="R1264" s="1175"/>
      <c r="S1264" s="1175"/>
      <c r="T1264" s="1175"/>
      <c r="U1264" s="1175"/>
      <c r="V1264" s="1175"/>
      <c r="W1264" s="1175"/>
      <c r="X1264" s="1175"/>
      <c r="Y1264" s="1175"/>
      <c r="Z1264" s="1175"/>
      <c r="AA1264" s="1176"/>
      <c r="AB1264" s="1176"/>
      <c r="AC1264" s="1176"/>
    </row>
    <row r="1265" spans="16:29">
      <c r="P1265" s="1175"/>
      <c r="Q1265" s="1175"/>
      <c r="R1265" s="1175"/>
      <c r="S1265" s="1175"/>
      <c r="T1265" s="1175"/>
      <c r="U1265" s="1175"/>
      <c r="V1265" s="1175"/>
      <c r="W1265" s="1175"/>
      <c r="X1265" s="1175"/>
      <c r="Y1265" s="1175"/>
      <c r="Z1265" s="1175"/>
      <c r="AA1265" s="1176"/>
      <c r="AB1265" s="1176"/>
      <c r="AC1265" s="1176"/>
    </row>
    <row r="1266" spans="16:29">
      <c r="P1266" s="1175"/>
      <c r="Q1266" s="1175"/>
      <c r="R1266" s="1175"/>
      <c r="S1266" s="1175"/>
      <c r="T1266" s="1175"/>
      <c r="U1266" s="1175"/>
      <c r="V1266" s="1175"/>
      <c r="W1266" s="1175"/>
      <c r="X1266" s="1175"/>
      <c r="Y1266" s="1175"/>
      <c r="Z1266" s="1175"/>
      <c r="AA1266" s="1176"/>
      <c r="AB1266" s="1176"/>
      <c r="AC1266" s="1176"/>
    </row>
    <row r="1267" spans="16:29">
      <c r="P1267" s="1175"/>
      <c r="Q1267" s="1175"/>
      <c r="R1267" s="1175"/>
      <c r="S1267" s="1175"/>
      <c r="T1267" s="1175"/>
      <c r="U1267" s="1175"/>
      <c r="V1267" s="1175"/>
      <c r="W1267" s="1175"/>
      <c r="X1267" s="1175"/>
      <c r="Y1267" s="1175"/>
      <c r="Z1267" s="1175"/>
      <c r="AA1267" s="1176"/>
      <c r="AB1267" s="1176"/>
      <c r="AC1267" s="1176"/>
    </row>
    <row r="1268" spans="16:29">
      <c r="P1268" s="1175"/>
      <c r="Q1268" s="1175"/>
      <c r="R1268" s="1175"/>
      <c r="S1268" s="1175"/>
      <c r="T1268" s="1175"/>
      <c r="U1268" s="1175"/>
      <c r="V1268" s="1175"/>
      <c r="W1268" s="1175"/>
      <c r="X1268" s="1175"/>
      <c r="Y1268" s="1175"/>
      <c r="Z1268" s="1175"/>
      <c r="AA1268" s="1176"/>
      <c r="AB1268" s="1176"/>
      <c r="AC1268" s="1176"/>
    </row>
    <row r="1269" spans="16:29">
      <c r="P1269" s="1175"/>
      <c r="Q1269" s="1175"/>
      <c r="R1269" s="1175"/>
      <c r="S1269" s="1175"/>
      <c r="T1269" s="1175"/>
      <c r="U1269" s="1175"/>
      <c r="V1269" s="1175"/>
      <c r="W1269" s="1175"/>
      <c r="X1269" s="1175"/>
      <c r="Y1269" s="1175"/>
      <c r="Z1269" s="1175"/>
      <c r="AA1269" s="1176"/>
      <c r="AB1269" s="1176"/>
      <c r="AC1269" s="1176"/>
    </row>
    <row r="1270" spans="16:29">
      <c r="P1270" s="1175"/>
      <c r="Q1270" s="1175"/>
      <c r="R1270" s="1175"/>
      <c r="S1270" s="1175"/>
      <c r="T1270" s="1175"/>
      <c r="U1270" s="1175"/>
      <c r="V1270" s="1175"/>
      <c r="W1270" s="1175"/>
      <c r="X1270" s="1175"/>
      <c r="Y1270" s="1175"/>
      <c r="Z1270" s="1175"/>
      <c r="AA1270" s="1176"/>
      <c r="AB1270" s="1176"/>
      <c r="AC1270" s="1176"/>
    </row>
    <row r="1271" spans="16:29">
      <c r="P1271" s="1175"/>
      <c r="Q1271" s="1175"/>
      <c r="R1271" s="1175"/>
      <c r="S1271" s="1175"/>
      <c r="T1271" s="1175"/>
      <c r="U1271" s="1175"/>
      <c r="V1271" s="1175"/>
      <c r="W1271" s="1175"/>
      <c r="X1271" s="1175"/>
      <c r="Y1271" s="1175"/>
      <c r="Z1271" s="1175"/>
      <c r="AA1271" s="1176"/>
      <c r="AB1271" s="1176"/>
      <c r="AC1271" s="1176"/>
    </row>
    <row r="1272" spans="16:29">
      <c r="P1272" s="1175"/>
      <c r="Q1272" s="1175"/>
      <c r="R1272" s="1175"/>
      <c r="S1272" s="1175"/>
      <c r="T1272" s="1175"/>
      <c r="U1272" s="1175"/>
      <c r="V1272" s="1175"/>
      <c r="W1272" s="1175"/>
      <c r="X1272" s="1175"/>
      <c r="Y1272" s="1175"/>
      <c r="Z1272" s="1175"/>
      <c r="AA1272" s="1176"/>
      <c r="AB1272" s="1176"/>
      <c r="AC1272" s="1176"/>
    </row>
    <row r="1273" spans="16:29">
      <c r="P1273" s="1175"/>
      <c r="Q1273" s="1175"/>
      <c r="R1273" s="1175"/>
      <c r="S1273" s="1175"/>
      <c r="T1273" s="1175"/>
      <c r="U1273" s="1175"/>
      <c r="V1273" s="1175"/>
      <c r="W1273" s="1175"/>
      <c r="X1273" s="1175"/>
      <c r="Y1273" s="1175"/>
      <c r="Z1273" s="1175"/>
      <c r="AA1273" s="1176"/>
      <c r="AB1273" s="1176"/>
      <c r="AC1273" s="1176"/>
    </row>
    <row r="1274" spans="16:29">
      <c r="P1274" s="1175"/>
      <c r="Q1274" s="1175"/>
      <c r="R1274" s="1175"/>
      <c r="S1274" s="1175"/>
      <c r="T1274" s="1175"/>
      <c r="U1274" s="1175"/>
      <c r="V1274" s="1175"/>
      <c r="W1274" s="1175"/>
      <c r="X1274" s="1175"/>
      <c r="Y1274" s="1175"/>
      <c r="Z1274" s="1175"/>
      <c r="AA1274" s="1176"/>
      <c r="AB1274" s="1176"/>
      <c r="AC1274" s="1176"/>
    </row>
    <row r="1275" spans="16:29">
      <c r="P1275" s="1175"/>
      <c r="Q1275" s="1175"/>
      <c r="R1275" s="1175"/>
      <c r="S1275" s="1175"/>
      <c r="T1275" s="1175"/>
      <c r="U1275" s="1175"/>
      <c r="V1275" s="1175"/>
      <c r="W1275" s="1175"/>
      <c r="X1275" s="1175"/>
      <c r="Y1275" s="1175"/>
      <c r="Z1275" s="1175"/>
      <c r="AA1275" s="1176"/>
      <c r="AB1275" s="1176"/>
      <c r="AC1275" s="1176"/>
    </row>
    <row r="1276" spans="16:29">
      <c r="P1276" s="1175"/>
      <c r="Q1276" s="1175"/>
      <c r="R1276" s="1175"/>
      <c r="S1276" s="1175"/>
      <c r="T1276" s="1175"/>
      <c r="U1276" s="1175"/>
      <c r="V1276" s="1175"/>
      <c r="W1276" s="1175"/>
      <c r="X1276" s="1175"/>
      <c r="Y1276" s="1175"/>
      <c r="Z1276" s="1175"/>
      <c r="AA1276" s="1176"/>
      <c r="AB1276" s="1176"/>
      <c r="AC1276" s="1176"/>
    </row>
    <row r="1277" spans="16:29">
      <c r="P1277" s="1175"/>
      <c r="Q1277" s="1175"/>
      <c r="R1277" s="1175"/>
      <c r="S1277" s="1175"/>
      <c r="T1277" s="1175"/>
      <c r="U1277" s="1175"/>
      <c r="V1277" s="1175"/>
      <c r="W1277" s="1175"/>
      <c r="X1277" s="1175"/>
      <c r="Y1277" s="1175"/>
      <c r="Z1277" s="1175"/>
      <c r="AA1277" s="1176"/>
      <c r="AB1277" s="1176"/>
      <c r="AC1277" s="1176"/>
    </row>
    <row r="1278" spans="16:29">
      <c r="P1278" s="1175"/>
      <c r="Q1278" s="1175"/>
      <c r="R1278" s="1175"/>
      <c r="S1278" s="1175"/>
      <c r="T1278" s="1175"/>
      <c r="U1278" s="1175"/>
      <c r="V1278" s="1175"/>
      <c r="W1278" s="1175"/>
      <c r="X1278" s="1175"/>
      <c r="Y1278" s="1175"/>
      <c r="Z1278" s="1175"/>
      <c r="AA1278" s="1176"/>
      <c r="AB1278" s="1176"/>
      <c r="AC1278" s="1176"/>
    </row>
    <row r="1279" spans="16:29">
      <c r="P1279" s="1175"/>
      <c r="Q1279" s="1175"/>
      <c r="R1279" s="1175"/>
      <c r="S1279" s="1175"/>
      <c r="T1279" s="1175"/>
      <c r="U1279" s="1175"/>
      <c r="V1279" s="1175"/>
      <c r="W1279" s="1175"/>
      <c r="X1279" s="1175"/>
      <c r="Y1279" s="1175"/>
      <c r="Z1279" s="1175"/>
      <c r="AA1279" s="1176"/>
      <c r="AB1279" s="1176"/>
      <c r="AC1279" s="1176"/>
    </row>
    <row r="1280" spans="16:29">
      <c r="P1280" s="1175"/>
      <c r="Q1280" s="1175"/>
      <c r="R1280" s="1175"/>
      <c r="S1280" s="1175"/>
      <c r="T1280" s="1175"/>
      <c r="U1280" s="1175"/>
      <c r="V1280" s="1175"/>
      <c r="W1280" s="1175"/>
      <c r="X1280" s="1175"/>
      <c r="Y1280" s="1175"/>
      <c r="Z1280" s="1175"/>
      <c r="AA1280" s="1176"/>
      <c r="AB1280" s="1176"/>
      <c r="AC1280" s="1176"/>
    </row>
    <row r="1281" spans="16:29">
      <c r="P1281" s="1175"/>
      <c r="Q1281" s="1175"/>
      <c r="R1281" s="1175"/>
      <c r="S1281" s="1175"/>
      <c r="T1281" s="1175"/>
      <c r="U1281" s="1175"/>
      <c r="V1281" s="1175"/>
      <c r="W1281" s="1175"/>
      <c r="X1281" s="1175"/>
      <c r="Y1281" s="1175"/>
      <c r="Z1281" s="1175"/>
      <c r="AA1281" s="1176"/>
      <c r="AB1281" s="1176"/>
      <c r="AC1281" s="1176"/>
    </row>
    <row r="1282" spans="16:29">
      <c r="P1282" s="1175"/>
      <c r="Q1282" s="1175"/>
      <c r="R1282" s="1175"/>
      <c r="S1282" s="1175"/>
      <c r="T1282" s="1175"/>
      <c r="U1282" s="1175"/>
      <c r="V1282" s="1175"/>
      <c r="W1282" s="1175"/>
      <c r="X1282" s="1175"/>
      <c r="Y1282" s="1175"/>
      <c r="Z1282" s="1175"/>
      <c r="AA1282" s="1176"/>
      <c r="AB1282" s="1176"/>
      <c r="AC1282" s="1176"/>
    </row>
    <row r="1283" spans="16:29">
      <c r="P1283" s="1175"/>
      <c r="Q1283" s="1175"/>
      <c r="R1283" s="1175"/>
      <c r="S1283" s="1175"/>
      <c r="T1283" s="1175"/>
      <c r="U1283" s="1175"/>
      <c r="V1283" s="1175"/>
      <c r="W1283" s="1175"/>
      <c r="X1283" s="1175"/>
      <c r="Y1283" s="1175"/>
      <c r="Z1283" s="1175"/>
      <c r="AA1283" s="1176"/>
      <c r="AB1283" s="1176"/>
      <c r="AC1283" s="1176"/>
    </row>
    <row r="1284" spans="16:29">
      <c r="P1284" s="1175"/>
      <c r="Q1284" s="1175"/>
      <c r="R1284" s="1175"/>
      <c r="S1284" s="1175"/>
      <c r="T1284" s="1175"/>
      <c r="U1284" s="1175"/>
      <c r="V1284" s="1175"/>
      <c r="W1284" s="1175"/>
      <c r="X1284" s="1175"/>
      <c r="Y1284" s="1175"/>
      <c r="Z1284" s="1175"/>
      <c r="AA1284" s="1176"/>
      <c r="AB1284" s="1176"/>
      <c r="AC1284" s="1176"/>
    </row>
    <row r="1285" spans="16:29">
      <c r="P1285" s="1175"/>
      <c r="Q1285" s="1175"/>
      <c r="R1285" s="1175"/>
      <c r="S1285" s="1175"/>
      <c r="T1285" s="1175"/>
      <c r="U1285" s="1175"/>
      <c r="V1285" s="1175"/>
      <c r="W1285" s="1175"/>
      <c r="X1285" s="1175"/>
      <c r="Y1285" s="1175"/>
      <c r="Z1285" s="1175"/>
      <c r="AA1285" s="1176"/>
      <c r="AB1285" s="1176"/>
      <c r="AC1285" s="1176"/>
    </row>
    <row r="1286" spans="16:29">
      <c r="P1286" s="1175"/>
      <c r="Q1286" s="1175"/>
      <c r="R1286" s="1175"/>
      <c r="S1286" s="1175"/>
      <c r="T1286" s="1175"/>
      <c r="U1286" s="1175"/>
      <c r="V1286" s="1175"/>
      <c r="W1286" s="1175"/>
      <c r="X1286" s="1175"/>
      <c r="Y1286" s="1175"/>
      <c r="Z1286" s="1175"/>
      <c r="AA1286" s="1176"/>
      <c r="AB1286" s="1176"/>
      <c r="AC1286" s="1176"/>
    </row>
    <row r="1287" spans="16:29">
      <c r="P1287" s="1175"/>
      <c r="Q1287" s="1175"/>
      <c r="R1287" s="1175"/>
      <c r="S1287" s="1175"/>
      <c r="T1287" s="1175"/>
      <c r="U1287" s="1175"/>
      <c r="V1287" s="1175"/>
      <c r="W1287" s="1175"/>
      <c r="X1287" s="1175"/>
      <c r="Y1287" s="1175"/>
      <c r="Z1287" s="1175"/>
      <c r="AA1287" s="1176"/>
      <c r="AB1287" s="1176"/>
      <c r="AC1287" s="1176"/>
    </row>
    <row r="1288" spans="16:29">
      <c r="P1288" s="1175"/>
      <c r="Q1288" s="1175"/>
      <c r="R1288" s="1175"/>
      <c r="S1288" s="1175"/>
      <c r="T1288" s="1175"/>
      <c r="U1288" s="1175"/>
      <c r="V1288" s="1175"/>
      <c r="W1288" s="1175"/>
      <c r="X1288" s="1175"/>
      <c r="Y1288" s="1175"/>
      <c r="Z1288" s="1175"/>
      <c r="AA1288" s="1176"/>
      <c r="AB1288" s="1176"/>
      <c r="AC1288" s="1176"/>
    </row>
    <row r="1289" spans="16:29">
      <c r="P1289" s="1175"/>
      <c r="Q1289" s="1175"/>
      <c r="R1289" s="1175"/>
      <c r="S1289" s="1175"/>
      <c r="T1289" s="1175"/>
      <c r="U1289" s="1175"/>
      <c r="V1289" s="1175"/>
      <c r="W1289" s="1175"/>
      <c r="X1289" s="1175"/>
      <c r="Y1289" s="1175"/>
      <c r="Z1289" s="1175"/>
      <c r="AA1289" s="1176"/>
      <c r="AB1289" s="1176"/>
      <c r="AC1289" s="1176"/>
    </row>
    <row r="1290" spans="16:29">
      <c r="P1290" s="1175"/>
      <c r="Q1290" s="1175"/>
      <c r="R1290" s="1175"/>
      <c r="S1290" s="1175"/>
      <c r="T1290" s="1175"/>
      <c r="U1290" s="1175"/>
      <c r="V1290" s="1175"/>
      <c r="W1290" s="1175"/>
      <c r="X1290" s="1175"/>
      <c r="Y1290" s="1175"/>
      <c r="Z1290" s="1175"/>
      <c r="AA1290" s="1176"/>
      <c r="AB1290" s="1176"/>
      <c r="AC1290" s="1176"/>
    </row>
    <row r="1291" spans="16:29">
      <c r="P1291" s="1175"/>
      <c r="Q1291" s="1175"/>
      <c r="R1291" s="1175"/>
      <c r="S1291" s="1175"/>
      <c r="T1291" s="1175"/>
      <c r="U1291" s="1175"/>
      <c r="V1291" s="1175"/>
      <c r="W1291" s="1175"/>
      <c r="X1291" s="1175"/>
      <c r="Y1291" s="1175"/>
      <c r="Z1291" s="1175"/>
      <c r="AA1291" s="1176"/>
      <c r="AB1291" s="1176"/>
      <c r="AC1291" s="1176"/>
    </row>
    <row r="1292" spans="16:29">
      <c r="P1292" s="1175"/>
      <c r="Q1292" s="1175"/>
      <c r="R1292" s="1175"/>
      <c r="S1292" s="1175"/>
      <c r="T1292" s="1175"/>
      <c r="U1292" s="1175"/>
      <c r="V1292" s="1175"/>
      <c r="W1292" s="1175"/>
      <c r="X1292" s="1175"/>
      <c r="Y1292" s="1175"/>
      <c r="Z1292" s="1175"/>
      <c r="AA1292" s="1176"/>
      <c r="AB1292" s="1176"/>
      <c r="AC1292" s="1176"/>
    </row>
    <row r="1293" spans="16:29">
      <c r="P1293" s="1175"/>
      <c r="Q1293" s="1175"/>
      <c r="R1293" s="1175"/>
      <c r="S1293" s="1175"/>
      <c r="T1293" s="1175"/>
      <c r="U1293" s="1175"/>
      <c r="V1293" s="1175"/>
      <c r="W1293" s="1175"/>
      <c r="X1293" s="1175"/>
      <c r="Y1293" s="1175"/>
      <c r="Z1293" s="1175"/>
      <c r="AA1293" s="1176"/>
      <c r="AB1293" s="1176"/>
      <c r="AC1293" s="1176"/>
    </row>
    <row r="1294" spans="16:29">
      <c r="P1294" s="1175"/>
      <c r="Q1294" s="1175"/>
      <c r="R1294" s="1175"/>
      <c r="S1294" s="1175"/>
      <c r="T1294" s="1175"/>
      <c r="U1294" s="1175"/>
      <c r="V1294" s="1175"/>
      <c r="W1294" s="1175"/>
      <c r="X1294" s="1175"/>
      <c r="Y1294" s="1175"/>
      <c r="Z1294" s="1175"/>
      <c r="AA1294" s="1176"/>
      <c r="AB1294" s="1176"/>
      <c r="AC1294" s="1176"/>
    </row>
    <row r="1295" spans="16:29">
      <c r="P1295" s="1175"/>
      <c r="Q1295" s="1175"/>
      <c r="R1295" s="1175"/>
      <c r="S1295" s="1175"/>
      <c r="T1295" s="1175"/>
      <c r="U1295" s="1175"/>
      <c r="V1295" s="1175"/>
      <c r="W1295" s="1175"/>
      <c r="X1295" s="1175"/>
      <c r="Y1295" s="1175"/>
      <c r="Z1295" s="1175"/>
      <c r="AA1295" s="1176"/>
      <c r="AB1295" s="1176"/>
      <c r="AC1295" s="1176"/>
    </row>
    <row r="1296" spans="16:29">
      <c r="P1296" s="1175"/>
      <c r="Q1296" s="1175"/>
      <c r="R1296" s="1175"/>
      <c r="S1296" s="1175"/>
      <c r="T1296" s="1175"/>
      <c r="U1296" s="1175"/>
      <c r="V1296" s="1175"/>
      <c r="W1296" s="1175"/>
      <c r="X1296" s="1175"/>
      <c r="Y1296" s="1175"/>
      <c r="Z1296" s="1175"/>
      <c r="AA1296" s="1176"/>
      <c r="AB1296" s="1176"/>
      <c r="AC1296" s="1176"/>
    </row>
    <row r="1297" spans="16:29">
      <c r="P1297" s="1175"/>
      <c r="Q1297" s="1175"/>
      <c r="R1297" s="1175"/>
      <c r="S1297" s="1175"/>
      <c r="T1297" s="1175"/>
      <c r="U1297" s="1175"/>
      <c r="V1297" s="1175"/>
      <c r="W1297" s="1175"/>
      <c r="X1297" s="1175"/>
      <c r="Y1297" s="1175"/>
      <c r="Z1297" s="1175"/>
      <c r="AA1297" s="1176"/>
      <c r="AB1297" s="1176"/>
      <c r="AC1297" s="1176"/>
    </row>
    <row r="1298" spans="16:29">
      <c r="P1298" s="1175"/>
      <c r="Q1298" s="1175"/>
      <c r="R1298" s="1175"/>
      <c r="S1298" s="1175"/>
      <c r="T1298" s="1175"/>
      <c r="U1298" s="1175"/>
      <c r="V1298" s="1175"/>
      <c r="W1298" s="1175"/>
      <c r="X1298" s="1175"/>
      <c r="Y1298" s="1175"/>
      <c r="Z1298" s="1175"/>
      <c r="AA1298" s="1176"/>
      <c r="AB1298" s="1176"/>
      <c r="AC1298" s="1176"/>
    </row>
    <row r="1299" spans="16:29">
      <c r="P1299" s="1175"/>
      <c r="Q1299" s="1175"/>
      <c r="R1299" s="1175"/>
      <c r="S1299" s="1175"/>
      <c r="T1299" s="1175"/>
      <c r="U1299" s="1175"/>
      <c r="V1299" s="1175"/>
      <c r="W1299" s="1175"/>
      <c r="X1299" s="1175"/>
      <c r="Y1299" s="1175"/>
      <c r="Z1299" s="1175"/>
      <c r="AA1299" s="1176"/>
      <c r="AB1299" s="1176"/>
      <c r="AC1299" s="1176"/>
    </row>
    <row r="1300" spans="16:29">
      <c r="P1300" s="1175"/>
      <c r="Q1300" s="1175"/>
      <c r="R1300" s="1175"/>
      <c r="S1300" s="1175"/>
      <c r="T1300" s="1175"/>
      <c r="U1300" s="1175"/>
      <c r="V1300" s="1175"/>
      <c r="W1300" s="1175"/>
      <c r="X1300" s="1175"/>
      <c r="Y1300" s="1175"/>
      <c r="Z1300" s="1175"/>
      <c r="AA1300" s="1176"/>
      <c r="AB1300" s="1176"/>
      <c r="AC1300" s="1176"/>
    </row>
    <row r="1301" spans="16:29">
      <c r="P1301" s="1175"/>
      <c r="Q1301" s="1175"/>
      <c r="R1301" s="1175"/>
      <c r="S1301" s="1175"/>
      <c r="T1301" s="1175"/>
      <c r="U1301" s="1175"/>
      <c r="V1301" s="1175"/>
      <c r="W1301" s="1175"/>
      <c r="X1301" s="1175"/>
      <c r="Y1301" s="1175"/>
      <c r="Z1301" s="1175"/>
      <c r="AA1301" s="1176"/>
      <c r="AB1301" s="1176"/>
      <c r="AC1301" s="1176"/>
    </row>
    <row r="1302" spans="16:29">
      <c r="P1302" s="1175"/>
      <c r="Q1302" s="1175"/>
      <c r="R1302" s="1175"/>
      <c r="S1302" s="1175"/>
      <c r="T1302" s="1175"/>
      <c r="U1302" s="1175"/>
      <c r="V1302" s="1175"/>
      <c r="W1302" s="1175"/>
      <c r="X1302" s="1175"/>
      <c r="Y1302" s="1175"/>
      <c r="Z1302" s="1175"/>
      <c r="AA1302" s="1176"/>
      <c r="AB1302" s="1176"/>
      <c r="AC1302" s="1176"/>
    </row>
    <row r="1303" spans="16:29">
      <c r="P1303" s="1175"/>
      <c r="Q1303" s="1175"/>
      <c r="R1303" s="1175"/>
      <c r="S1303" s="1175"/>
      <c r="T1303" s="1175"/>
      <c r="U1303" s="1175"/>
      <c r="V1303" s="1175"/>
      <c r="W1303" s="1175"/>
      <c r="X1303" s="1175"/>
      <c r="Y1303" s="1175"/>
      <c r="Z1303" s="1175"/>
      <c r="AA1303" s="1176"/>
      <c r="AB1303" s="1176"/>
      <c r="AC1303" s="1176"/>
    </row>
    <row r="1304" spans="16:29">
      <c r="P1304" s="1175"/>
      <c r="Q1304" s="1175"/>
      <c r="R1304" s="1175"/>
      <c r="S1304" s="1175"/>
      <c r="T1304" s="1175"/>
      <c r="U1304" s="1175"/>
      <c r="V1304" s="1175"/>
      <c r="W1304" s="1175"/>
      <c r="X1304" s="1175"/>
      <c r="Y1304" s="1175"/>
      <c r="Z1304" s="1175"/>
      <c r="AA1304" s="1176"/>
      <c r="AB1304" s="1176"/>
      <c r="AC1304" s="1176"/>
    </row>
    <row r="1305" spans="16:29">
      <c r="P1305" s="1175"/>
      <c r="Q1305" s="1175"/>
      <c r="R1305" s="1175"/>
      <c r="S1305" s="1175"/>
      <c r="T1305" s="1175"/>
      <c r="U1305" s="1175"/>
      <c r="V1305" s="1175"/>
      <c r="W1305" s="1175"/>
      <c r="X1305" s="1175"/>
      <c r="Y1305" s="1175"/>
      <c r="Z1305" s="1175"/>
      <c r="AA1305" s="1176"/>
      <c r="AB1305" s="1176"/>
      <c r="AC1305" s="1176"/>
    </row>
    <row r="1306" spans="16:29">
      <c r="P1306" s="1175"/>
      <c r="Q1306" s="1175"/>
      <c r="R1306" s="1175"/>
      <c r="S1306" s="1175"/>
      <c r="T1306" s="1175"/>
      <c r="U1306" s="1175"/>
      <c r="V1306" s="1175"/>
      <c r="W1306" s="1175"/>
      <c r="X1306" s="1175"/>
      <c r="Y1306" s="1175"/>
      <c r="Z1306" s="1175"/>
      <c r="AA1306" s="1176"/>
      <c r="AB1306" s="1176"/>
      <c r="AC1306" s="1176"/>
    </row>
    <row r="1307" spans="16:29">
      <c r="P1307" s="1175"/>
      <c r="Q1307" s="1175"/>
      <c r="R1307" s="1175"/>
      <c r="S1307" s="1175"/>
      <c r="T1307" s="1175"/>
      <c r="U1307" s="1175"/>
      <c r="V1307" s="1175"/>
      <c r="W1307" s="1175"/>
      <c r="X1307" s="1175"/>
      <c r="Y1307" s="1175"/>
      <c r="Z1307" s="1175"/>
      <c r="AA1307" s="1176"/>
      <c r="AB1307" s="1176"/>
      <c r="AC1307" s="1176"/>
    </row>
    <row r="1308" spans="16:29">
      <c r="P1308" s="1175"/>
      <c r="Q1308" s="1175"/>
      <c r="R1308" s="1175"/>
      <c r="S1308" s="1175"/>
      <c r="T1308" s="1175"/>
      <c r="U1308" s="1175"/>
      <c r="V1308" s="1175"/>
      <c r="W1308" s="1175"/>
      <c r="X1308" s="1175"/>
      <c r="Y1308" s="1175"/>
      <c r="Z1308" s="1175"/>
      <c r="AA1308" s="1176"/>
      <c r="AB1308" s="1176"/>
      <c r="AC1308" s="1176"/>
    </row>
    <row r="1309" spans="16:29">
      <c r="P1309" s="1175"/>
      <c r="Q1309" s="1175"/>
      <c r="R1309" s="1175"/>
      <c r="S1309" s="1175"/>
      <c r="T1309" s="1175"/>
      <c r="U1309" s="1175"/>
      <c r="V1309" s="1175"/>
      <c r="W1309" s="1175"/>
      <c r="X1309" s="1175"/>
      <c r="Y1309" s="1175"/>
      <c r="Z1309" s="1175"/>
      <c r="AA1309" s="1176"/>
      <c r="AB1309" s="1176"/>
      <c r="AC1309" s="1176"/>
    </row>
    <row r="1310" spans="16:29">
      <c r="P1310" s="1175"/>
      <c r="Q1310" s="1175"/>
      <c r="R1310" s="1175"/>
      <c r="S1310" s="1175"/>
      <c r="T1310" s="1175"/>
      <c r="U1310" s="1175"/>
      <c r="V1310" s="1175"/>
      <c r="W1310" s="1175"/>
      <c r="X1310" s="1175"/>
      <c r="Y1310" s="1175"/>
      <c r="Z1310" s="1175"/>
      <c r="AA1310" s="1176"/>
      <c r="AB1310" s="1176"/>
      <c r="AC1310" s="1176"/>
    </row>
    <row r="1311" spans="16:29">
      <c r="P1311" s="1175"/>
      <c r="Q1311" s="1175"/>
      <c r="R1311" s="1175"/>
      <c r="S1311" s="1175"/>
      <c r="T1311" s="1175"/>
      <c r="U1311" s="1175"/>
      <c r="V1311" s="1175"/>
      <c r="W1311" s="1175"/>
      <c r="X1311" s="1175"/>
      <c r="Y1311" s="1175"/>
      <c r="Z1311" s="1175"/>
      <c r="AA1311" s="1176"/>
      <c r="AB1311" s="1176"/>
      <c r="AC1311" s="1176"/>
    </row>
    <row r="1312" spans="16:29">
      <c r="P1312" s="1175"/>
      <c r="Q1312" s="1175"/>
      <c r="R1312" s="1175"/>
      <c r="S1312" s="1175"/>
      <c r="T1312" s="1175"/>
      <c r="U1312" s="1175"/>
      <c r="V1312" s="1175"/>
      <c r="W1312" s="1175"/>
      <c r="X1312" s="1175"/>
      <c r="Y1312" s="1175"/>
      <c r="Z1312" s="1175"/>
      <c r="AA1312" s="1176"/>
      <c r="AB1312" s="1176"/>
      <c r="AC1312" s="1176"/>
    </row>
    <row r="1313" spans="16:29">
      <c r="P1313" s="1175"/>
      <c r="Q1313" s="1175"/>
      <c r="R1313" s="1175"/>
      <c r="S1313" s="1175"/>
      <c r="T1313" s="1175"/>
      <c r="U1313" s="1175"/>
      <c r="V1313" s="1175"/>
      <c r="W1313" s="1175"/>
      <c r="X1313" s="1175"/>
      <c r="Y1313" s="1175"/>
      <c r="Z1313" s="1175"/>
      <c r="AA1313" s="1176"/>
      <c r="AB1313" s="1176"/>
      <c r="AC1313" s="1176"/>
    </row>
    <row r="1314" spans="16:29">
      <c r="P1314" s="1175"/>
      <c r="Q1314" s="1175"/>
      <c r="R1314" s="1175"/>
      <c r="S1314" s="1175"/>
      <c r="T1314" s="1175"/>
      <c r="U1314" s="1175"/>
      <c r="V1314" s="1175"/>
      <c r="W1314" s="1175"/>
      <c r="X1314" s="1175"/>
      <c r="Y1314" s="1175"/>
      <c r="Z1314" s="1175"/>
      <c r="AA1314" s="1176"/>
      <c r="AB1314" s="1176"/>
      <c r="AC1314" s="1176"/>
    </row>
    <row r="1315" spans="16:29">
      <c r="P1315" s="1175"/>
      <c r="Q1315" s="1175"/>
      <c r="R1315" s="1175"/>
      <c r="S1315" s="1175"/>
      <c r="T1315" s="1175"/>
      <c r="U1315" s="1175"/>
      <c r="V1315" s="1175"/>
      <c r="W1315" s="1175"/>
      <c r="X1315" s="1175"/>
      <c r="Y1315" s="1175"/>
      <c r="Z1315" s="1175"/>
      <c r="AA1315" s="1176"/>
      <c r="AB1315" s="1176"/>
      <c r="AC1315" s="1176"/>
    </row>
    <row r="1316" spans="16:29">
      <c r="P1316" s="1175"/>
      <c r="Q1316" s="1175"/>
      <c r="R1316" s="1175"/>
      <c r="S1316" s="1175"/>
      <c r="T1316" s="1175"/>
      <c r="U1316" s="1175"/>
      <c r="V1316" s="1175"/>
      <c r="W1316" s="1175"/>
      <c r="X1316" s="1175"/>
      <c r="Y1316" s="1175"/>
      <c r="Z1316" s="1175"/>
      <c r="AA1316" s="1176"/>
      <c r="AB1316" s="1176"/>
      <c r="AC1316" s="1176"/>
    </row>
    <row r="1317" spans="16:29">
      <c r="P1317" s="1175"/>
      <c r="Q1317" s="1175"/>
      <c r="R1317" s="1175"/>
      <c r="S1317" s="1175"/>
      <c r="T1317" s="1175"/>
      <c r="U1317" s="1175"/>
      <c r="V1317" s="1175"/>
      <c r="W1317" s="1175"/>
      <c r="X1317" s="1175"/>
      <c r="Y1317" s="1175"/>
      <c r="Z1317" s="1175"/>
      <c r="AA1317" s="1176"/>
      <c r="AB1317" s="1176"/>
      <c r="AC1317" s="1176"/>
    </row>
    <row r="1318" spans="16:29">
      <c r="P1318" s="1175"/>
      <c r="Q1318" s="1175"/>
      <c r="R1318" s="1175"/>
      <c r="S1318" s="1175"/>
      <c r="T1318" s="1175"/>
      <c r="U1318" s="1175"/>
      <c r="V1318" s="1175"/>
      <c r="W1318" s="1175"/>
      <c r="X1318" s="1175"/>
      <c r="Y1318" s="1175"/>
      <c r="Z1318" s="1175"/>
      <c r="AA1318" s="1176"/>
      <c r="AB1318" s="1176"/>
      <c r="AC1318" s="1176"/>
    </row>
    <row r="1319" spans="16:29">
      <c r="P1319" s="1175"/>
      <c r="Q1319" s="1175"/>
      <c r="R1319" s="1175"/>
      <c r="S1319" s="1175"/>
      <c r="T1319" s="1175"/>
      <c r="U1319" s="1175"/>
      <c r="V1319" s="1175"/>
      <c r="W1319" s="1175"/>
      <c r="X1319" s="1175"/>
      <c r="Y1319" s="1175"/>
      <c r="Z1319" s="1175"/>
      <c r="AA1319" s="1176"/>
      <c r="AB1319" s="1176"/>
      <c r="AC1319" s="1176"/>
    </row>
    <row r="1320" spans="16:29">
      <c r="P1320" s="1175"/>
      <c r="Q1320" s="1175"/>
      <c r="R1320" s="1175"/>
      <c r="S1320" s="1175"/>
      <c r="T1320" s="1175"/>
      <c r="U1320" s="1175"/>
      <c r="V1320" s="1175"/>
      <c r="W1320" s="1175"/>
      <c r="X1320" s="1175"/>
      <c r="Y1320" s="1175"/>
      <c r="Z1320" s="1175"/>
      <c r="AA1320" s="1176"/>
      <c r="AB1320" s="1176"/>
      <c r="AC1320" s="1176"/>
    </row>
    <row r="1321" spans="16:29">
      <c r="P1321" s="1175"/>
      <c r="Q1321" s="1175"/>
      <c r="R1321" s="1175"/>
      <c r="S1321" s="1175"/>
      <c r="T1321" s="1175"/>
      <c r="U1321" s="1175"/>
      <c r="V1321" s="1175"/>
      <c r="W1321" s="1175"/>
      <c r="X1321" s="1175"/>
      <c r="Y1321" s="1175"/>
      <c r="Z1321" s="1175"/>
      <c r="AA1321" s="1176"/>
      <c r="AB1321" s="1176"/>
      <c r="AC1321" s="1176"/>
    </row>
    <row r="1322" spans="16:29">
      <c r="P1322" s="1175"/>
      <c r="Q1322" s="1175"/>
      <c r="R1322" s="1175"/>
      <c r="S1322" s="1175"/>
      <c r="T1322" s="1175"/>
      <c r="U1322" s="1175"/>
      <c r="V1322" s="1175"/>
      <c r="W1322" s="1175"/>
      <c r="X1322" s="1175"/>
      <c r="Y1322" s="1175"/>
      <c r="Z1322" s="1175"/>
      <c r="AA1322" s="1176"/>
      <c r="AB1322" s="1176"/>
      <c r="AC1322" s="1176"/>
    </row>
    <row r="1323" spans="16:29">
      <c r="P1323" s="1175"/>
      <c r="Q1323" s="1175"/>
      <c r="R1323" s="1175"/>
      <c r="S1323" s="1175"/>
      <c r="T1323" s="1175"/>
      <c r="U1323" s="1175"/>
      <c r="V1323" s="1175"/>
      <c r="W1323" s="1175"/>
      <c r="X1323" s="1175"/>
      <c r="Y1323" s="1175"/>
      <c r="Z1323" s="1175"/>
      <c r="AA1323" s="1176"/>
      <c r="AB1323" s="1176"/>
      <c r="AC1323" s="1176"/>
    </row>
    <row r="1324" spans="16:29">
      <c r="P1324" s="1175"/>
      <c r="Q1324" s="1175"/>
      <c r="R1324" s="1175"/>
      <c r="S1324" s="1175"/>
      <c r="T1324" s="1175"/>
      <c r="U1324" s="1175"/>
      <c r="V1324" s="1175"/>
      <c r="W1324" s="1175"/>
      <c r="X1324" s="1175"/>
      <c r="Y1324" s="1175"/>
      <c r="Z1324" s="1175"/>
      <c r="AA1324" s="1176"/>
      <c r="AB1324" s="1176"/>
      <c r="AC1324" s="1176"/>
    </row>
    <row r="1325" spans="16:29">
      <c r="P1325" s="1175"/>
      <c r="Q1325" s="1175"/>
      <c r="R1325" s="1175"/>
      <c r="S1325" s="1175"/>
      <c r="T1325" s="1175"/>
      <c r="U1325" s="1175"/>
      <c r="V1325" s="1175"/>
      <c r="W1325" s="1175"/>
      <c r="X1325" s="1175"/>
      <c r="Y1325" s="1175"/>
      <c r="Z1325" s="1175"/>
      <c r="AA1325" s="1176"/>
      <c r="AB1325" s="1176"/>
      <c r="AC1325" s="1176"/>
    </row>
    <row r="1326" spans="16:29">
      <c r="P1326" s="1175"/>
      <c r="Q1326" s="1175"/>
      <c r="R1326" s="1175"/>
      <c r="S1326" s="1175"/>
      <c r="T1326" s="1175"/>
      <c r="U1326" s="1175"/>
      <c r="V1326" s="1175"/>
      <c r="W1326" s="1175"/>
      <c r="X1326" s="1175"/>
      <c r="Y1326" s="1175"/>
      <c r="Z1326" s="1175"/>
      <c r="AA1326" s="1176"/>
      <c r="AB1326" s="1176"/>
      <c r="AC1326" s="1176"/>
    </row>
    <row r="1327" spans="16:29">
      <c r="P1327" s="1175"/>
      <c r="Q1327" s="1175"/>
      <c r="R1327" s="1175"/>
      <c r="S1327" s="1175"/>
      <c r="T1327" s="1175"/>
      <c r="U1327" s="1175"/>
      <c r="V1327" s="1175"/>
      <c r="W1327" s="1175"/>
      <c r="X1327" s="1175"/>
      <c r="Y1327" s="1175"/>
      <c r="Z1327" s="1175"/>
      <c r="AA1327" s="1176"/>
      <c r="AB1327" s="1176"/>
      <c r="AC1327" s="1176"/>
    </row>
    <row r="1328" spans="16:29">
      <c r="P1328" s="1175"/>
      <c r="Q1328" s="1175"/>
      <c r="R1328" s="1175"/>
      <c r="S1328" s="1175"/>
      <c r="T1328" s="1175"/>
      <c r="U1328" s="1175"/>
      <c r="V1328" s="1175"/>
      <c r="W1328" s="1175"/>
      <c r="X1328" s="1175"/>
      <c r="Y1328" s="1175"/>
      <c r="Z1328" s="1175"/>
      <c r="AA1328" s="1176"/>
      <c r="AB1328" s="1176"/>
      <c r="AC1328" s="1176"/>
    </row>
    <row r="1329" spans="16:29">
      <c r="P1329" s="1175"/>
      <c r="Q1329" s="1175"/>
      <c r="R1329" s="1175"/>
      <c r="S1329" s="1175"/>
      <c r="T1329" s="1175"/>
      <c r="U1329" s="1175"/>
      <c r="V1329" s="1175"/>
      <c r="W1329" s="1175"/>
      <c r="X1329" s="1175"/>
      <c r="Y1329" s="1175"/>
      <c r="Z1329" s="1175"/>
      <c r="AA1329" s="1176"/>
      <c r="AB1329" s="1176"/>
      <c r="AC1329" s="1176"/>
    </row>
    <row r="1330" spans="16:29">
      <c r="P1330" s="1175"/>
      <c r="Q1330" s="1175"/>
      <c r="R1330" s="1175"/>
      <c r="S1330" s="1175"/>
      <c r="T1330" s="1175"/>
      <c r="U1330" s="1175"/>
      <c r="V1330" s="1175"/>
      <c r="W1330" s="1175"/>
      <c r="X1330" s="1175"/>
      <c r="Y1330" s="1175"/>
      <c r="Z1330" s="1175"/>
      <c r="AA1330" s="1176"/>
      <c r="AB1330" s="1176"/>
      <c r="AC1330" s="1176"/>
    </row>
    <row r="1331" spans="16:29">
      <c r="P1331" s="1175"/>
      <c r="Q1331" s="1175"/>
      <c r="R1331" s="1175"/>
      <c r="S1331" s="1175"/>
      <c r="T1331" s="1175"/>
      <c r="U1331" s="1175"/>
      <c r="V1331" s="1175"/>
      <c r="W1331" s="1175"/>
      <c r="X1331" s="1175"/>
      <c r="Y1331" s="1175"/>
      <c r="Z1331" s="1175"/>
      <c r="AA1331" s="1176"/>
      <c r="AB1331" s="1176"/>
      <c r="AC1331" s="1176"/>
    </row>
    <row r="1332" spans="16:29">
      <c r="P1332" s="1175"/>
      <c r="Q1332" s="1175"/>
      <c r="R1332" s="1175"/>
      <c r="S1332" s="1175"/>
      <c r="T1332" s="1175"/>
      <c r="U1332" s="1175"/>
      <c r="V1332" s="1175"/>
      <c r="W1332" s="1175"/>
      <c r="X1332" s="1175"/>
      <c r="Y1332" s="1175"/>
      <c r="Z1332" s="1175"/>
      <c r="AA1332" s="1176"/>
      <c r="AB1332" s="1176"/>
      <c r="AC1332" s="1176"/>
    </row>
    <row r="1333" spans="16:29">
      <c r="P1333" s="1175"/>
      <c r="Q1333" s="1175"/>
      <c r="R1333" s="1175"/>
      <c r="S1333" s="1175"/>
      <c r="T1333" s="1175"/>
      <c r="U1333" s="1175"/>
      <c r="V1333" s="1175"/>
      <c r="W1333" s="1175"/>
      <c r="X1333" s="1175"/>
      <c r="Y1333" s="1175"/>
      <c r="Z1333" s="1175"/>
      <c r="AA1333" s="1176"/>
      <c r="AB1333" s="1176"/>
      <c r="AC1333" s="1176"/>
    </row>
    <row r="1334" spans="16:29">
      <c r="P1334" s="1175"/>
      <c r="Q1334" s="1175"/>
      <c r="R1334" s="1175"/>
      <c r="S1334" s="1175"/>
      <c r="T1334" s="1175"/>
      <c r="U1334" s="1175"/>
      <c r="V1334" s="1175"/>
      <c r="W1334" s="1175"/>
      <c r="X1334" s="1175"/>
      <c r="Y1334" s="1175"/>
      <c r="Z1334" s="1175"/>
      <c r="AA1334" s="1176"/>
      <c r="AB1334" s="1176"/>
      <c r="AC1334" s="1176"/>
    </row>
    <row r="1335" spans="16:29">
      <c r="P1335" s="1175"/>
      <c r="Q1335" s="1175"/>
      <c r="R1335" s="1175"/>
      <c r="S1335" s="1175"/>
      <c r="T1335" s="1175"/>
      <c r="U1335" s="1175"/>
      <c r="V1335" s="1175"/>
      <c r="W1335" s="1175"/>
      <c r="X1335" s="1175"/>
      <c r="Y1335" s="1175"/>
      <c r="Z1335" s="1175"/>
      <c r="AA1335" s="1176"/>
      <c r="AB1335" s="1176"/>
      <c r="AC1335" s="1176"/>
    </row>
    <row r="1336" spans="16:29">
      <c r="P1336" s="1175"/>
      <c r="Q1336" s="1175"/>
      <c r="R1336" s="1175"/>
      <c r="S1336" s="1175"/>
      <c r="T1336" s="1175"/>
      <c r="U1336" s="1175"/>
      <c r="V1336" s="1175"/>
      <c r="W1336" s="1175"/>
      <c r="X1336" s="1175"/>
      <c r="Y1336" s="1175"/>
      <c r="Z1336" s="1175"/>
      <c r="AA1336" s="1176"/>
      <c r="AB1336" s="1176"/>
      <c r="AC1336" s="1176"/>
    </row>
    <row r="1337" spans="16:29">
      <c r="P1337" s="1175"/>
      <c r="Q1337" s="1175"/>
      <c r="R1337" s="1175"/>
      <c r="S1337" s="1175"/>
      <c r="T1337" s="1175"/>
      <c r="U1337" s="1175"/>
      <c r="V1337" s="1175"/>
      <c r="W1337" s="1175"/>
      <c r="X1337" s="1175"/>
      <c r="Y1337" s="1175"/>
      <c r="Z1337" s="1175"/>
      <c r="AA1337" s="1176"/>
      <c r="AB1337" s="1176"/>
      <c r="AC1337" s="1176"/>
    </row>
    <row r="1338" spans="16:29">
      <c r="P1338" s="1175"/>
      <c r="Q1338" s="1175"/>
      <c r="R1338" s="1175"/>
      <c r="S1338" s="1175"/>
      <c r="T1338" s="1175"/>
      <c r="U1338" s="1175"/>
      <c r="V1338" s="1175"/>
      <c r="W1338" s="1175"/>
      <c r="X1338" s="1175"/>
      <c r="Y1338" s="1175"/>
      <c r="Z1338" s="1175"/>
      <c r="AA1338" s="1176"/>
      <c r="AB1338" s="1176"/>
      <c r="AC1338" s="1176"/>
    </row>
    <row r="1339" spans="16:29">
      <c r="P1339" s="1175"/>
      <c r="Q1339" s="1175"/>
      <c r="R1339" s="1175"/>
      <c r="S1339" s="1175"/>
      <c r="T1339" s="1175"/>
      <c r="U1339" s="1175"/>
      <c r="V1339" s="1175"/>
      <c r="W1339" s="1175"/>
      <c r="X1339" s="1175"/>
      <c r="Y1339" s="1175"/>
      <c r="Z1339" s="1175"/>
      <c r="AA1339" s="1176"/>
      <c r="AB1339" s="1176"/>
      <c r="AC1339" s="1176"/>
    </row>
    <row r="1340" spans="16:29">
      <c r="P1340" s="1175"/>
      <c r="Q1340" s="1175"/>
      <c r="R1340" s="1175"/>
      <c r="S1340" s="1175"/>
      <c r="T1340" s="1175"/>
      <c r="U1340" s="1175"/>
      <c r="V1340" s="1175"/>
      <c r="W1340" s="1175"/>
      <c r="X1340" s="1175"/>
      <c r="Y1340" s="1175"/>
      <c r="Z1340" s="1175"/>
      <c r="AA1340" s="1176"/>
      <c r="AB1340" s="1176"/>
      <c r="AC1340" s="1176"/>
    </row>
    <row r="1341" spans="16:29">
      <c r="P1341" s="1175"/>
      <c r="Q1341" s="1175"/>
      <c r="R1341" s="1175"/>
      <c r="S1341" s="1175"/>
      <c r="T1341" s="1175"/>
      <c r="U1341" s="1175"/>
      <c r="V1341" s="1175"/>
      <c r="W1341" s="1175"/>
      <c r="X1341" s="1175"/>
      <c r="Y1341" s="1175"/>
      <c r="Z1341" s="1175"/>
      <c r="AA1341" s="1176"/>
      <c r="AB1341" s="1176"/>
      <c r="AC1341" s="1176"/>
    </row>
    <row r="1342" spans="16:29">
      <c r="P1342" s="1175"/>
      <c r="Q1342" s="1175"/>
      <c r="R1342" s="1175"/>
      <c r="S1342" s="1175"/>
      <c r="T1342" s="1175"/>
      <c r="U1342" s="1175"/>
      <c r="V1342" s="1175"/>
      <c r="W1342" s="1175"/>
      <c r="X1342" s="1175"/>
      <c r="Y1342" s="1175"/>
      <c r="Z1342" s="1175"/>
      <c r="AA1342" s="1176"/>
      <c r="AB1342" s="1176"/>
      <c r="AC1342" s="1176"/>
    </row>
    <row r="1343" spans="16:29">
      <c r="P1343" s="1175"/>
      <c r="Q1343" s="1175"/>
      <c r="R1343" s="1175"/>
      <c r="S1343" s="1175"/>
      <c r="T1343" s="1175"/>
      <c r="U1343" s="1175"/>
      <c r="V1343" s="1175"/>
      <c r="W1343" s="1175"/>
      <c r="X1343" s="1175"/>
      <c r="Y1343" s="1175"/>
      <c r="Z1343" s="1175"/>
      <c r="AA1343" s="1176"/>
      <c r="AB1343" s="1176"/>
      <c r="AC1343" s="1176"/>
    </row>
    <row r="1344" spans="16:29">
      <c r="P1344" s="1175"/>
      <c r="Q1344" s="1175"/>
      <c r="R1344" s="1175"/>
      <c r="S1344" s="1175"/>
      <c r="T1344" s="1175"/>
      <c r="U1344" s="1175"/>
      <c r="V1344" s="1175"/>
      <c r="W1344" s="1175"/>
      <c r="X1344" s="1175"/>
      <c r="Y1344" s="1175"/>
      <c r="Z1344" s="1175"/>
      <c r="AA1344" s="1176"/>
      <c r="AB1344" s="1176"/>
      <c r="AC1344" s="1176"/>
    </row>
    <row r="1345" spans="16:29">
      <c r="P1345" s="1175"/>
      <c r="Q1345" s="1175"/>
      <c r="R1345" s="1175"/>
      <c r="S1345" s="1175"/>
      <c r="T1345" s="1175"/>
      <c r="U1345" s="1175"/>
      <c r="V1345" s="1175"/>
      <c r="W1345" s="1175"/>
      <c r="X1345" s="1175"/>
      <c r="Y1345" s="1175"/>
      <c r="Z1345" s="1175"/>
      <c r="AA1345" s="1176"/>
      <c r="AB1345" s="1176"/>
      <c r="AC1345" s="1176"/>
    </row>
    <row r="1346" spans="16:29">
      <c r="P1346" s="1175"/>
      <c r="Q1346" s="1175"/>
      <c r="R1346" s="1175"/>
      <c r="S1346" s="1175"/>
      <c r="T1346" s="1175"/>
      <c r="U1346" s="1175"/>
      <c r="V1346" s="1175"/>
      <c r="W1346" s="1175"/>
      <c r="X1346" s="1175"/>
      <c r="Y1346" s="1175"/>
      <c r="Z1346" s="1175"/>
      <c r="AA1346" s="1176"/>
      <c r="AB1346" s="1176"/>
      <c r="AC1346" s="1176"/>
    </row>
    <row r="1347" spans="16:29">
      <c r="P1347" s="1175"/>
      <c r="Q1347" s="1175"/>
      <c r="R1347" s="1175"/>
      <c r="S1347" s="1175"/>
      <c r="T1347" s="1175"/>
      <c r="U1347" s="1175"/>
      <c r="V1347" s="1175"/>
      <c r="W1347" s="1175"/>
      <c r="X1347" s="1175"/>
      <c r="Y1347" s="1175"/>
      <c r="Z1347" s="1175"/>
      <c r="AA1347" s="1176"/>
      <c r="AB1347" s="1176"/>
      <c r="AC1347" s="1176"/>
    </row>
    <row r="1348" spans="16:29">
      <c r="P1348" s="1175"/>
      <c r="Q1348" s="1175"/>
      <c r="R1348" s="1175"/>
      <c r="S1348" s="1175"/>
      <c r="T1348" s="1175"/>
      <c r="U1348" s="1175"/>
      <c r="V1348" s="1175"/>
      <c r="W1348" s="1175"/>
      <c r="X1348" s="1175"/>
      <c r="Y1348" s="1175"/>
      <c r="Z1348" s="1175"/>
      <c r="AA1348" s="1176"/>
      <c r="AB1348" s="1176"/>
      <c r="AC1348" s="1176"/>
    </row>
    <row r="1349" spans="16:29">
      <c r="P1349" s="1175"/>
      <c r="Q1349" s="1175"/>
      <c r="R1349" s="1175"/>
      <c r="S1349" s="1175"/>
      <c r="T1349" s="1175"/>
      <c r="U1349" s="1175"/>
      <c r="V1349" s="1175"/>
      <c r="W1349" s="1175"/>
      <c r="X1349" s="1175"/>
      <c r="Y1349" s="1175"/>
      <c r="Z1349" s="1175"/>
      <c r="AA1349" s="1176"/>
      <c r="AB1349" s="1176"/>
      <c r="AC1349" s="1176"/>
    </row>
    <row r="1350" spans="16:29">
      <c r="P1350" s="1175"/>
      <c r="Q1350" s="1175"/>
      <c r="R1350" s="1175"/>
      <c r="S1350" s="1175"/>
      <c r="T1350" s="1175"/>
      <c r="U1350" s="1175"/>
      <c r="V1350" s="1175"/>
      <c r="W1350" s="1175"/>
      <c r="X1350" s="1175"/>
      <c r="Y1350" s="1175"/>
      <c r="Z1350" s="1175"/>
      <c r="AA1350" s="1176"/>
      <c r="AB1350" s="1176"/>
      <c r="AC1350" s="1176"/>
    </row>
    <row r="1351" spans="16:29">
      <c r="P1351" s="1175"/>
      <c r="Q1351" s="1175"/>
      <c r="R1351" s="1175"/>
      <c r="S1351" s="1175"/>
      <c r="T1351" s="1175"/>
      <c r="U1351" s="1175"/>
      <c r="V1351" s="1175"/>
      <c r="W1351" s="1175"/>
      <c r="X1351" s="1175"/>
      <c r="Y1351" s="1175"/>
      <c r="Z1351" s="1175"/>
      <c r="AA1351" s="1176"/>
      <c r="AB1351" s="1176"/>
      <c r="AC1351" s="1176"/>
    </row>
    <row r="1352" spans="16:29">
      <c r="P1352" s="1175"/>
      <c r="Q1352" s="1175"/>
      <c r="R1352" s="1175"/>
      <c r="S1352" s="1175"/>
      <c r="T1352" s="1175"/>
      <c r="U1352" s="1175"/>
      <c r="V1352" s="1175"/>
      <c r="W1352" s="1175"/>
      <c r="X1352" s="1175"/>
      <c r="Y1352" s="1175"/>
      <c r="Z1352" s="1175"/>
      <c r="AA1352" s="1176"/>
      <c r="AB1352" s="1176"/>
      <c r="AC1352" s="1176"/>
    </row>
    <row r="1353" spans="16:29">
      <c r="P1353" s="1175"/>
      <c r="Q1353" s="1175"/>
      <c r="R1353" s="1175"/>
      <c r="S1353" s="1175"/>
      <c r="T1353" s="1175"/>
      <c r="U1353" s="1175"/>
      <c r="V1353" s="1175"/>
      <c r="W1353" s="1175"/>
      <c r="X1353" s="1175"/>
      <c r="Y1353" s="1175"/>
      <c r="Z1353" s="1175"/>
      <c r="AA1353" s="1176"/>
      <c r="AB1353" s="1176"/>
      <c r="AC1353" s="1176"/>
    </row>
    <row r="1354" spans="16:29">
      <c r="P1354" s="1175"/>
      <c r="Q1354" s="1175"/>
      <c r="R1354" s="1175"/>
      <c r="S1354" s="1175"/>
      <c r="T1354" s="1175"/>
      <c r="U1354" s="1175"/>
      <c r="V1354" s="1175"/>
      <c r="W1354" s="1175"/>
      <c r="X1354" s="1175"/>
      <c r="Y1354" s="1175"/>
      <c r="Z1354" s="1175"/>
      <c r="AA1354" s="1176"/>
      <c r="AB1354" s="1176"/>
      <c r="AC1354" s="1176"/>
    </row>
    <row r="1355" spans="16:29">
      <c r="P1355" s="1175"/>
      <c r="Q1355" s="1175"/>
      <c r="R1355" s="1175"/>
      <c r="S1355" s="1175"/>
      <c r="T1355" s="1175"/>
      <c r="U1355" s="1175"/>
      <c r="V1355" s="1175"/>
      <c r="W1355" s="1175"/>
      <c r="X1355" s="1175"/>
      <c r="Y1355" s="1175"/>
      <c r="Z1355" s="1175"/>
      <c r="AA1355" s="1176"/>
      <c r="AB1355" s="1176"/>
      <c r="AC1355" s="1176"/>
    </row>
    <row r="1356" spans="16:29">
      <c r="P1356" s="1175"/>
      <c r="Q1356" s="1175"/>
      <c r="R1356" s="1175"/>
      <c r="S1356" s="1175"/>
      <c r="T1356" s="1175"/>
      <c r="U1356" s="1175"/>
      <c r="V1356" s="1175"/>
      <c r="W1356" s="1175"/>
      <c r="X1356" s="1175"/>
      <c r="Y1356" s="1175"/>
      <c r="Z1356" s="1175"/>
      <c r="AA1356" s="1176"/>
      <c r="AB1356" s="1176"/>
      <c r="AC1356" s="1176"/>
    </row>
    <row r="1357" spans="16:29">
      <c r="P1357" s="1175"/>
      <c r="Q1357" s="1175"/>
      <c r="R1357" s="1175"/>
      <c r="S1357" s="1175"/>
      <c r="T1357" s="1175"/>
      <c r="U1357" s="1175"/>
      <c r="V1357" s="1175"/>
      <c r="W1357" s="1175"/>
      <c r="X1357" s="1175"/>
      <c r="Y1357" s="1175"/>
      <c r="Z1357" s="1175"/>
      <c r="AA1357" s="1176"/>
      <c r="AB1357" s="1176"/>
      <c r="AC1357" s="1176"/>
    </row>
    <row r="1358" spans="16:29">
      <c r="P1358" s="1175"/>
      <c r="Q1358" s="1175"/>
      <c r="R1358" s="1175"/>
      <c r="S1358" s="1175"/>
      <c r="T1358" s="1175"/>
      <c r="U1358" s="1175"/>
      <c r="V1358" s="1175"/>
      <c r="W1358" s="1175"/>
      <c r="X1358" s="1175"/>
      <c r="Y1358" s="1175"/>
      <c r="Z1358" s="1175"/>
      <c r="AA1358" s="1176"/>
      <c r="AB1358" s="1176"/>
      <c r="AC1358" s="1176"/>
    </row>
    <row r="1359" spans="16:29">
      <c r="P1359" s="1175"/>
      <c r="Q1359" s="1175"/>
      <c r="R1359" s="1175"/>
      <c r="S1359" s="1175"/>
      <c r="T1359" s="1175"/>
      <c r="U1359" s="1175"/>
      <c r="V1359" s="1175"/>
      <c r="W1359" s="1175"/>
      <c r="X1359" s="1175"/>
      <c r="Y1359" s="1175"/>
      <c r="Z1359" s="1175"/>
      <c r="AA1359" s="1176"/>
      <c r="AB1359" s="1176"/>
      <c r="AC1359" s="1176"/>
    </row>
    <row r="1360" spans="16:29">
      <c r="P1360" s="1175"/>
      <c r="Q1360" s="1175"/>
      <c r="R1360" s="1175"/>
      <c r="S1360" s="1175"/>
      <c r="T1360" s="1175"/>
      <c r="U1360" s="1175"/>
      <c r="V1360" s="1175"/>
      <c r="W1360" s="1175"/>
      <c r="X1360" s="1175"/>
      <c r="Y1360" s="1175"/>
      <c r="Z1360" s="1175"/>
      <c r="AA1360" s="1176"/>
      <c r="AB1360" s="1176"/>
      <c r="AC1360" s="1176"/>
    </row>
    <row r="1361" spans="16:29">
      <c r="P1361" s="1175"/>
      <c r="Q1361" s="1175"/>
      <c r="R1361" s="1175"/>
      <c r="S1361" s="1175"/>
      <c r="T1361" s="1175"/>
      <c r="U1361" s="1175"/>
      <c r="V1361" s="1175"/>
      <c r="W1361" s="1175"/>
      <c r="X1361" s="1175"/>
      <c r="Y1361" s="1175"/>
      <c r="Z1361" s="1175"/>
      <c r="AA1361" s="1176"/>
      <c r="AB1361" s="1176"/>
      <c r="AC1361" s="1176"/>
    </row>
    <row r="1362" spans="16:29">
      <c r="P1362" s="1175"/>
      <c r="Q1362" s="1175"/>
      <c r="R1362" s="1175"/>
      <c r="S1362" s="1175"/>
      <c r="T1362" s="1175"/>
      <c r="U1362" s="1175"/>
      <c r="V1362" s="1175"/>
      <c r="W1362" s="1175"/>
      <c r="X1362" s="1175"/>
      <c r="Y1362" s="1175"/>
      <c r="Z1362" s="1175"/>
      <c r="AA1362" s="1176"/>
      <c r="AB1362" s="1176"/>
      <c r="AC1362" s="1176"/>
    </row>
    <row r="1363" spans="16:29">
      <c r="P1363" s="1175"/>
      <c r="Q1363" s="1175"/>
      <c r="R1363" s="1175"/>
      <c r="S1363" s="1175"/>
      <c r="T1363" s="1175"/>
      <c r="U1363" s="1175"/>
      <c r="V1363" s="1175"/>
      <c r="W1363" s="1175"/>
      <c r="X1363" s="1175"/>
      <c r="Y1363" s="1175"/>
      <c r="Z1363" s="1175"/>
      <c r="AA1363" s="1176"/>
      <c r="AB1363" s="1176"/>
      <c r="AC1363" s="1176"/>
    </row>
    <row r="1364" spans="16:29">
      <c r="P1364" s="1175"/>
      <c r="Q1364" s="1175"/>
      <c r="R1364" s="1175"/>
      <c r="S1364" s="1175"/>
      <c r="T1364" s="1175"/>
      <c r="U1364" s="1175"/>
      <c r="V1364" s="1175"/>
      <c r="W1364" s="1175"/>
      <c r="X1364" s="1175"/>
      <c r="Y1364" s="1175"/>
      <c r="Z1364" s="1175"/>
      <c r="AA1364" s="1176"/>
      <c r="AB1364" s="1176"/>
      <c r="AC1364" s="1176"/>
    </row>
    <row r="1365" spans="16:29">
      <c r="P1365" s="1175"/>
      <c r="Q1365" s="1175"/>
      <c r="R1365" s="1175"/>
      <c r="S1365" s="1175"/>
      <c r="T1365" s="1175"/>
      <c r="U1365" s="1175"/>
      <c r="V1365" s="1175"/>
      <c r="W1365" s="1175"/>
      <c r="X1365" s="1175"/>
      <c r="Y1365" s="1175"/>
      <c r="Z1365" s="1175"/>
      <c r="AA1365" s="1176"/>
      <c r="AB1365" s="1176"/>
      <c r="AC1365" s="1176"/>
    </row>
    <row r="1366" spans="16:29">
      <c r="P1366" s="1175"/>
      <c r="Q1366" s="1175"/>
      <c r="R1366" s="1175"/>
      <c r="S1366" s="1175"/>
      <c r="T1366" s="1175"/>
      <c r="U1366" s="1175"/>
      <c r="V1366" s="1175"/>
      <c r="W1366" s="1175"/>
      <c r="X1366" s="1175"/>
      <c r="Y1366" s="1175"/>
      <c r="Z1366" s="1175"/>
      <c r="AA1366" s="1176"/>
      <c r="AB1366" s="1176"/>
      <c r="AC1366" s="1176"/>
    </row>
    <row r="1367" spans="16:29">
      <c r="P1367" s="1175"/>
      <c r="Q1367" s="1175"/>
      <c r="R1367" s="1175"/>
      <c r="S1367" s="1175"/>
      <c r="T1367" s="1175"/>
      <c r="U1367" s="1175"/>
      <c r="V1367" s="1175"/>
      <c r="W1367" s="1175"/>
      <c r="X1367" s="1175"/>
      <c r="Y1367" s="1175"/>
      <c r="Z1367" s="1175"/>
      <c r="AA1367" s="1176"/>
      <c r="AB1367" s="1176"/>
      <c r="AC1367" s="1176"/>
    </row>
    <row r="1368" spans="16:29">
      <c r="P1368" s="1175"/>
      <c r="Q1368" s="1175"/>
      <c r="R1368" s="1175"/>
      <c r="S1368" s="1175"/>
      <c r="T1368" s="1175"/>
      <c r="U1368" s="1175"/>
      <c r="V1368" s="1175"/>
      <c r="W1368" s="1175"/>
      <c r="X1368" s="1175"/>
      <c r="Y1368" s="1175"/>
      <c r="Z1368" s="1175"/>
      <c r="AA1368" s="1176"/>
      <c r="AB1368" s="1176"/>
      <c r="AC1368" s="1176"/>
    </row>
    <row r="1369" spans="16:29">
      <c r="P1369" s="1175"/>
      <c r="Q1369" s="1175"/>
      <c r="R1369" s="1175"/>
      <c r="S1369" s="1175"/>
      <c r="T1369" s="1175"/>
      <c r="U1369" s="1175"/>
      <c r="V1369" s="1175"/>
      <c r="W1369" s="1175"/>
      <c r="X1369" s="1175"/>
      <c r="Y1369" s="1175"/>
      <c r="Z1369" s="1175"/>
      <c r="AA1369" s="1176"/>
      <c r="AB1369" s="1176"/>
      <c r="AC1369" s="1176"/>
    </row>
    <row r="1370" spans="16:29">
      <c r="P1370" s="1175"/>
      <c r="Q1370" s="1175"/>
      <c r="R1370" s="1175"/>
      <c r="S1370" s="1175"/>
      <c r="T1370" s="1175"/>
      <c r="U1370" s="1175"/>
      <c r="V1370" s="1175"/>
      <c r="W1370" s="1175"/>
      <c r="X1370" s="1175"/>
      <c r="Y1370" s="1175"/>
      <c r="Z1370" s="1175"/>
      <c r="AA1370" s="1176"/>
      <c r="AB1370" s="1176"/>
      <c r="AC1370" s="1176"/>
    </row>
    <row r="1371" spans="16:29">
      <c r="P1371" s="1175"/>
      <c r="Q1371" s="1175"/>
      <c r="R1371" s="1175"/>
      <c r="S1371" s="1175"/>
      <c r="T1371" s="1175"/>
      <c r="U1371" s="1175"/>
      <c r="V1371" s="1175"/>
      <c r="W1371" s="1175"/>
      <c r="X1371" s="1175"/>
      <c r="Y1371" s="1175"/>
      <c r="Z1371" s="1175"/>
      <c r="AA1371" s="1176"/>
      <c r="AB1371" s="1176"/>
      <c r="AC1371" s="1176"/>
    </row>
    <row r="1372" spans="16:29">
      <c r="P1372" s="1175"/>
      <c r="Q1372" s="1175"/>
      <c r="R1372" s="1175"/>
      <c r="S1372" s="1175"/>
      <c r="T1372" s="1175"/>
      <c r="U1372" s="1175"/>
      <c r="V1372" s="1175"/>
      <c r="W1372" s="1175"/>
      <c r="X1372" s="1175"/>
      <c r="Y1372" s="1175"/>
      <c r="Z1372" s="1175"/>
      <c r="AA1372" s="1176"/>
      <c r="AB1372" s="1176"/>
      <c r="AC1372" s="1176"/>
    </row>
    <row r="1373" spans="16:29">
      <c r="P1373" s="1175"/>
      <c r="Q1373" s="1175"/>
      <c r="R1373" s="1175"/>
      <c r="S1373" s="1175"/>
      <c r="T1373" s="1175"/>
      <c r="U1373" s="1175"/>
      <c r="V1373" s="1175"/>
      <c r="W1373" s="1175"/>
      <c r="X1373" s="1175"/>
      <c r="Y1373" s="1175"/>
      <c r="Z1373" s="1175"/>
      <c r="AA1373" s="1176"/>
      <c r="AB1373" s="1176"/>
      <c r="AC1373" s="1176"/>
    </row>
    <row r="1374" spans="16:29">
      <c r="P1374" s="1175"/>
      <c r="Q1374" s="1175"/>
      <c r="R1374" s="1175"/>
      <c r="S1374" s="1175"/>
      <c r="T1374" s="1175"/>
      <c r="U1374" s="1175"/>
      <c r="V1374" s="1175"/>
      <c r="W1374" s="1175"/>
      <c r="X1374" s="1175"/>
      <c r="Y1374" s="1175"/>
      <c r="Z1374" s="1175"/>
      <c r="AA1374" s="1176"/>
      <c r="AB1374" s="1176"/>
      <c r="AC1374" s="1176"/>
    </row>
    <row r="1375" spans="16:29">
      <c r="P1375" s="1175"/>
      <c r="Q1375" s="1175"/>
      <c r="R1375" s="1175"/>
      <c r="S1375" s="1175"/>
      <c r="T1375" s="1175"/>
      <c r="U1375" s="1175"/>
      <c r="V1375" s="1175"/>
      <c r="W1375" s="1175"/>
      <c r="X1375" s="1175"/>
      <c r="Y1375" s="1175"/>
      <c r="Z1375" s="1175"/>
      <c r="AA1375" s="1176"/>
      <c r="AB1375" s="1176"/>
      <c r="AC1375" s="1176"/>
    </row>
    <row r="1376" spans="16:29">
      <c r="P1376" s="1175"/>
      <c r="Q1376" s="1175"/>
      <c r="R1376" s="1175"/>
      <c r="S1376" s="1175"/>
      <c r="T1376" s="1175"/>
      <c r="U1376" s="1175"/>
      <c r="V1376" s="1175"/>
      <c r="W1376" s="1175"/>
      <c r="X1376" s="1175"/>
      <c r="Y1376" s="1175"/>
      <c r="Z1376" s="1175"/>
      <c r="AA1376" s="1176"/>
      <c r="AB1376" s="1176"/>
      <c r="AC1376" s="1176"/>
    </row>
    <row r="1377" spans="16:29">
      <c r="P1377" s="1175"/>
      <c r="Q1377" s="1175"/>
      <c r="R1377" s="1175"/>
      <c r="S1377" s="1175"/>
      <c r="T1377" s="1175"/>
      <c r="U1377" s="1175"/>
      <c r="V1377" s="1175"/>
      <c r="W1377" s="1175"/>
      <c r="X1377" s="1175"/>
      <c r="Y1377" s="1175"/>
      <c r="Z1377" s="1175"/>
      <c r="AA1377" s="1176"/>
      <c r="AB1377" s="1176"/>
      <c r="AC1377" s="1176"/>
    </row>
    <row r="1378" spans="16:29">
      <c r="P1378" s="1175"/>
      <c r="Q1378" s="1175"/>
      <c r="R1378" s="1175"/>
      <c r="S1378" s="1175"/>
      <c r="T1378" s="1175"/>
      <c r="U1378" s="1175"/>
      <c r="V1378" s="1175"/>
      <c r="W1378" s="1175"/>
      <c r="X1378" s="1175"/>
      <c r="Y1378" s="1175"/>
      <c r="Z1378" s="1175"/>
      <c r="AA1378" s="1176"/>
      <c r="AB1378" s="1176"/>
      <c r="AC1378" s="1176"/>
    </row>
    <row r="1379" spans="16:29">
      <c r="P1379" s="1175"/>
      <c r="Q1379" s="1175"/>
      <c r="R1379" s="1175"/>
      <c r="S1379" s="1175"/>
      <c r="T1379" s="1175"/>
      <c r="U1379" s="1175"/>
      <c r="V1379" s="1175"/>
      <c r="W1379" s="1175"/>
      <c r="X1379" s="1175"/>
      <c r="Y1379" s="1175"/>
      <c r="Z1379" s="1175"/>
      <c r="AA1379" s="1176"/>
      <c r="AB1379" s="1176"/>
      <c r="AC1379" s="1176"/>
    </row>
    <row r="1380" spans="16:29">
      <c r="P1380" s="1175"/>
      <c r="Q1380" s="1175"/>
      <c r="R1380" s="1175"/>
      <c r="S1380" s="1175"/>
      <c r="T1380" s="1175"/>
      <c r="U1380" s="1175"/>
      <c r="V1380" s="1175"/>
      <c r="W1380" s="1175"/>
      <c r="X1380" s="1175"/>
      <c r="Y1380" s="1175"/>
      <c r="Z1380" s="1175"/>
      <c r="AA1380" s="1176"/>
      <c r="AB1380" s="1176"/>
      <c r="AC1380" s="1176"/>
    </row>
    <row r="1381" spans="16:29">
      <c r="P1381" s="1175"/>
      <c r="Q1381" s="1175"/>
      <c r="R1381" s="1175"/>
      <c r="S1381" s="1175"/>
      <c r="T1381" s="1175"/>
      <c r="U1381" s="1175"/>
      <c r="V1381" s="1175"/>
      <c r="W1381" s="1175"/>
      <c r="X1381" s="1175"/>
      <c r="Y1381" s="1175"/>
      <c r="Z1381" s="1175"/>
      <c r="AA1381" s="1176"/>
      <c r="AB1381" s="1176"/>
      <c r="AC1381" s="1176"/>
    </row>
    <row r="1382" spans="16:29">
      <c r="P1382" s="1175"/>
      <c r="Q1382" s="1175"/>
      <c r="R1382" s="1175"/>
      <c r="S1382" s="1175"/>
      <c r="T1382" s="1175"/>
      <c r="U1382" s="1175"/>
      <c r="V1382" s="1175"/>
      <c r="W1382" s="1175"/>
      <c r="X1382" s="1175"/>
      <c r="Y1382" s="1175"/>
      <c r="Z1382" s="1175"/>
      <c r="AA1382" s="1176"/>
      <c r="AB1382" s="1176"/>
      <c r="AC1382" s="1176"/>
    </row>
    <row r="1383" spans="16:29">
      <c r="P1383" s="1175"/>
      <c r="Q1383" s="1175"/>
      <c r="R1383" s="1175"/>
      <c r="S1383" s="1175"/>
      <c r="T1383" s="1175"/>
      <c r="U1383" s="1175"/>
      <c r="V1383" s="1175"/>
      <c r="W1383" s="1175"/>
      <c r="X1383" s="1175"/>
      <c r="Y1383" s="1175"/>
      <c r="Z1383" s="1175"/>
      <c r="AA1383" s="1176"/>
      <c r="AB1383" s="1176"/>
      <c r="AC1383" s="1176"/>
    </row>
    <row r="1384" spans="16:29">
      <c r="P1384" s="1175"/>
      <c r="Q1384" s="1175"/>
      <c r="R1384" s="1175"/>
      <c r="S1384" s="1175"/>
      <c r="T1384" s="1175"/>
      <c r="U1384" s="1175"/>
      <c r="V1384" s="1175"/>
      <c r="W1384" s="1175"/>
      <c r="X1384" s="1175"/>
      <c r="Y1384" s="1175"/>
      <c r="Z1384" s="1175"/>
      <c r="AA1384" s="1176"/>
      <c r="AB1384" s="1176"/>
      <c r="AC1384" s="1176"/>
    </row>
    <row r="1385" spans="16:29">
      <c r="P1385" s="1175"/>
      <c r="Q1385" s="1175"/>
      <c r="R1385" s="1175"/>
      <c r="S1385" s="1175"/>
      <c r="T1385" s="1175"/>
      <c r="U1385" s="1175"/>
      <c r="V1385" s="1175"/>
      <c r="W1385" s="1175"/>
      <c r="X1385" s="1175"/>
      <c r="Y1385" s="1175"/>
      <c r="Z1385" s="1175"/>
      <c r="AA1385" s="1176"/>
      <c r="AB1385" s="1176"/>
      <c r="AC1385" s="1176"/>
    </row>
    <row r="1386" spans="16:29">
      <c r="P1386" s="1175"/>
      <c r="Q1386" s="1175"/>
      <c r="R1386" s="1175"/>
      <c r="S1386" s="1175"/>
      <c r="T1386" s="1175"/>
      <c r="U1386" s="1175"/>
      <c r="V1386" s="1175"/>
      <c r="W1386" s="1175"/>
      <c r="X1386" s="1175"/>
      <c r="Y1386" s="1175"/>
      <c r="Z1386" s="1175"/>
      <c r="AA1386" s="1176"/>
      <c r="AB1386" s="1176"/>
      <c r="AC1386" s="1176"/>
    </row>
    <row r="1387" spans="16:29">
      <c r="P1387" s="1175"/>
      <c r="Q1387" s="1175"/>
      <c r="R1387" s="1175"/>
      <c r="S1387" s="1175"/>
      <c r="T1387" s="1175"/>
      <c r="U1387" s="1175"/>
      <c r="V1387" s="1175"/>
      <c r="W1387" s="1175"/>
      <c r="X1387" s="1175"/>
      <c r="Y1387" s="1175"/>
      <c r="Z1387" s="1175"/>
      <c r="AA1387" s="1176"/>
      <c r="AB1387" s="1176"/>
      <c r="AC1387" s="1176"/>
    </row>
    <row r="1388" spans="16:29">
      <c r="P1388" s="1175"/>
      <c r="Q1388" s="1175"/>
      <c r="R1388" s="1175"/>
      <c r="S1388" s="1175"/>
      <c r="T1388" s="1175"/>
      <c r="U1388" s="1175"/>
      <c r="V1388" s="1175"/>
      <c r="W1388" s="1175"/>
      <c r="X1388" s="1175"/>
      <c r="Y1388" s="1175"/>
      <c r="Z1388" s="1175"/>
      <c r="AA1388" s="1176"/>
      <c r="AB1388" s="1176"/>
      <c r="AC1388" s="1176"/>
    </row>
    <row r="1389" spans="16:29">
      <c r="P1389" s="1175"/>
      <c r="Q1389" s="1175"/>
      <c r="R1389" s="1175"/>
      <c r="S1389" s="1175"/>
      <c r="T1389" s="1175"/>
      <c r="U1389" s="1175"/>
      <c r="V1389" s="1175"/>
      <c r="W1389" s="1175"/>
      <c r="X1389" s="1175"/>
      <c r="Y1389" s="1175"/>
      <c r="Z1389" s="1175"/>
      <c r="AA1389" s="1176"/>
      <c r="AB1389" s="1176"/>
      <c r="AC1389" s="1176"/>
    </row>
    <row r="1390" spans="16:29">
      <c r="P1390" s="1175"/>
      <c r="Q1390" s="1175"/>
      <c r="R1390" s="1175"/>
      <c r="S1390" s="1175"/>
      <c r="T1390" s="1175"/>
      <c r="U1390" s="1175"/>
      <c r="V1390" s="1175"/>
      <c r="W1390" s="1175"/>
      <c r="X1390" s="1175"/>
      <c r="Y1390" s="1175"/>
      <c r="Z1390" s="1175"/>
      <c r="AA1390" s="1176"/>
      <c r="AB1390" s="1176"/>
      <c r="AC1390" s="1176"/>
    </row>
    <row r="1391" spans="16:29">
      <c r="P1391" s="1175"/>
      <c r="Q1391" s="1175"/>
      <c r="R1391" s="1175"/>
      <c r="S1391" s="1175"/>
      <c r="T1391" s="1175"/>
      <c r="U1391" s="1175"/>
      <c r="V1391" s="1175"/>
      <c r="W1391" s="1175"/>
      <c r="X1391" s="1175"/>
      <c r="Y1391" s="1175"/>
      <c r="Z1391" s="1175"/>
      <c r="AA1391" s="1176"/>
      <c r="AB1391" s="1176"/>
      <c r="AC1391" s="1176"/>
    </row>
    <row r="1392" spans="16:29">
      <c r="P1392" s="1175"/>
      <c r="Q1392" s="1175"/>
      <c r="R1392" s="1175"/>
      <c r="S1392" s="1175"/>
      <c r="T1392" s="1175"/>
      <c r="U1392" s="1175"/>
      <c r="V1392" s="1175"/>
      <c r="W1392" s="1175"/>
      <c r="X1392" s="1175"/>
      <c r="Y1392" s="1175"/>
      <c r="Z1392" s="1175"/>
      <c r="AA1392" s="1176"/>
      <c r="AB1392" s="1176"/>
      <c r="AC1392" s="1176"/>
    </row>
    <row r="1393" spans="16:29">
      <c r="P1393" s="1175"/>
      <c r="Q1393" s="1175"/>
      <c r="R1393" s="1175"/>
      <c r="S1393" s="1175"/>
      <c r="T1393" s="1175"/>
      <c r="U1393" s="1175"/>
      <c r="V1393" s="1175"/>
      <c r="W1393" s="1175"/>
      <c r="X1393" s="1175"/>
      <c r="Y1393" s="1175"/>
      <c r="Z1393" s="1175"/>
      <c r="AA1393" s="1176"/>
      <c r="AB1393" s="1176"/>
      <c r="AC1393" s="1176"/>
    </row>
    <row r="1394" spans="16:29">
      <c r="P1394" s="1175"/>
      <c r="Q1394" s="1175"/>
      <c r="R1394" s="1175"/>
      <c r="S1394" s="1175"/>
      <c r="T1394" s="1175"/>
      <c r="U1394" s="1175"/>
      <c r="V1394" s="1175"/>
      <c r="W1394" s="1175"/>
      <c r="X1394" s="1175"/>
      <c r="Y1394" s="1175"/>
      <c r="Z1394" s="1175"/>
      <c r="AA1394" s="1176"/>
      <c r="AB1394" s="1176"/>
      <c r="AC1394" s="1176"/>
    </row>
    <row r="1395" spans="16:29">
      <c r="P1395" s="1175"/>
      <c r="Q1395" s="1175"/>
      <c r="R1395" s="1175"/>
      <c r="S1395" s="1175"/>
      <c r="T1395" s="1175"/>
      <c r="U1395" s="1175"/>
      <c r="V1395" s="1175"/>
      <c r="W1395" s="1175"/>
      <c r="X1395" s="1175"/>
      <c r="Y1395" s="1175"/>
      <c r="Z1395" s="1175"/>
      <c r="AA1395" s="1176"/>
      <c r="AB1395" s="1176"/>
      <c r="AC1395" s="1176"/>
    </row>
    <row r="1396" spans="16:29">
      <c r="P1396" s="1175"/>
      <c r="Q1396" s="1175"/>
      <c r="R1396" s="1175"/>
      <c r="S1396" s="1175"/>
      <c r="T1396" s="1175"/>
      <c r="U1396" s="1175"/>
      <c r="V1396" s="1175"/>
      <c r="W1396" s="1175"/>
      <c r="X1396" s="1175"/>
      <c r="Y1396" s="1175"/>
      <c r="Z1396" s="1175"/>
      <c r="AA1396" s="1176"/>
      <c r="AB1396" s="1176"/>
      <c r="AC1396" s="1176"/>
    </row>
    <row r="1397" spans="16:29">
      <c r="P1397" s="1175"/>
      <c r="Q1397" s="1175"/>
      <c r="R1397" s="1175"/>
      <c r="S1397" s="1175"/>
      <c r="T1397" s="1175"/>
      <c r="U1397" s="1175"/>
      <c r="V1397" s="1175"/>
      <c r="W1397" s="1175"/>
      <c r="X1397" s="1175"/>
      <c r="Y1397" s="1175"/>
      <c r="Z1397" s="1175"/>
      <c r="AA1397" s="1176"/>
      <c r="AB1397" s="1176"/>
      <c r="AC1397" s="1176"/>
    </row>
    <row r="1398" spans="16:29">
      <c r="P1398" s="1175"/>
      <c r="Q1398" s="1175"/>
      <c r="R1398" s="1175"/>
      <c r="S1398" s="1175"/>
      <c r="T1398" s="1175"/>
      <c r="U1398" s="1175"/>
      <c r="V1398" s="1175"/>
      <c r="W1398" s="1175"/>
      <c r="X1398" s="1175"/>
      <c r="Y1398" s="1175"/>
      <c r="Z1398" s="1175"/>
      <c r="AA1398" s="1176"/>
      <c r="AB1398" s="1176"/>
      <c r="AC1398" s="1176"/>
    </row>
    <row r="1399" spans="16:29">
      <c r="P1399" s="1175"/>
      <c r="Q1399" s="1175"/>
      <c r="R1399" s="1175"/>
      <c r="S1399" s="1175"/>
      <c r="T1399" s="1175"/>
      <c r="U1399" s="1175"/>
      <c r="V1399" s="1175"/>
      <c r="W1399" s="1175"/>
      <c r="X1399" s="1175"/>
      <c r="Y1399" s="1175"/>
      <c r="Z1399" s="1175"/>
      <c r="AA1399" s="1176"/>
      <c r="AB1399" s="1176"/>
      <c r="AC1399" s="1176"/>
    </row>
    <row r="1400" spans="16:29">
      <c r="P1400" s="1175"/>
      <c r="Q1400" s="1175"/>
      <c r="R1400" s="1175"/>
      <c r="S1400" s="1175"/>
      <c r="T1400" s="1175"/>
      <c r="U1400" s="1175"/>
      <c r="V1400" s="1175"/>
      <c r="W1400" s="1175"/>
      <c r="X1400" s="1175"/>
      <c r="Y1400" s="1175"/>
      <c r="Z1400" s="1175"/>
      <c r="AA1400" s="1176"/>
      <c r="AB1400" s="1176"/>
      <c r="AC1400" s="1176"/>
    </row>
    <row r="1401" spans="16:29">
      <c r="P1401" s="1175"/>
      <c r="Q1401" s="1175"/>
      <c r="R1401" s="1175"/>
      <c r="S1401" s="1175"/>
      <c r="T1401" s="1175"/>
      <c r="U1401" s="1175"/>
      <c r="V1401" s="1175"/>
      <c r="W1401" s="1175"/>
      <c r="X1401" s="1175"/>
      <c r="Y1401" s="1175"/>
      <c r="Z1401" s="1175"/>
      <c r="AA1401" s="1176"/>
      <c r="AB1401" s="1176"/>
      <c r="AC1401" s="1176"/>
    </row>
    <row r="1402" spans="16:29">
      <c r="P1402" s="1175"/>
      <c r="Q1402" s="1175"/>
      <c r="R1402" s="1175"/>
      <c r="S1402" s="1175"/>
      <c r="T1402" s="1175"/>
      <c r="U1402" s="1175"/>
      <c r="V1402" s="1175"/>
      <c r="W1402" s="1175"/>
      <c r="X1402" s="1175"/>
      <c r="Y1402" s="1175"/>
      <c r="Z1402" s="1175"/>
      <c r="AA1402" s="1176"/>
      <c r="AB1402" s="1176"/>
      <c r="AC1402" s="1176"/>
    </row>
    <row r="1403" spans="16:29">
      <c r="P1403" s="1175"/>
      <c r="Q1403" s="1175"/>
      <c r="R1403" s="1175"/>
      <c r="S1403" s="1175"/>
      <c r="T1403" s="1175"/>
      <c r="U1403" s="1175"/>
      <c r="V1403" s="1175"/>
      <c r="W1403" s="1175"/>
      <c r="X1403" s="1175"/>
      <c r="Y1403" s="1175"/>
      <c r="Z1403" s="1175"/>
      <c r="AA1403" s="1176"/>
      <c r="AB1403" s="1176"/>
      <c r="AC1403" s="1176"/>
    </row>
    <row r="1404" spans="16:29">
      <c r="P1404" s="1175"/>
      <c r="Q1404" s="1175"/>
      <c r="R1404" s="1175"/>
      <c r="S1404" s="1175"/>
      <c r="T1404" s="1175"/>
      <c r="U1404" s="1175"/>
      <c r="V1404" s="1175"/>
      <c r="W1404" s="1175"/>
      <c r="X1404" s="1175"/>
      <c r="Y1404" s="1175"/>
      <c r="Z1404" s="1175"/>
      <c r="AA1404" s="1176"/>
      <c r="AB1404" s="1176"/>
      <c r="AC1404" s="1176"/>
    </row>
    <row r="1405" spans="16:29">
      <c r="P1405" s="1175"/>
      <c r="Q1405" s="1175"/>
      <c r="R1405" s="1175"/>
      <c r="S1405" s="1175"/>
      <c r="T1405" s="1175"/>
      <c r="U1405" s="1175"/>
      <c r="V1405" s="1175"/>
      <c r="W1405" s="1175"/>
      <c r="X1405" s="1175"/>
      <c r="Y1405" s="1175"/>
      <c r="Z1405" s="1175"/>
      <c r="AA1405" s="1176"/>
      <c r="AB1405" s="1176"/>
      <c r="AC1405" s="1176"/>
    </row>
    <row r="1406" spans="16:29">
      <c r="P1406" s="1175"/>
      <c r="Q1406" s="1175"/>
      <c r="R1406" s="1175"/>
      <c r="S1406" s="1175"/>
      <c r="T1406" s="1175"/>
      <c r="U1406" s="1175"/>
      <c r="V1406" s="1175"/>
      <c r="W1406" s="1175"/>
      <c r="X1406" s="1175"/>
      <c r="Y1406" s="1175"/>
      <c r="Z1406" s="1175"/>
      <c r="AA1406" s="1176"/>
      <c r="AB1406" s="1176"/>
      <c r="AC1406" s="1176"/>
    </row>
    <row r="1407" spans="16:29">
      <c r="P1407" s="1175"/>
      <c r="Q1407" s="1175"/>
      <c r="R1407" s="1175"/>
      <c r="S1407" s="1175"/>
      <c r="T1407" s="1175"/>
      <c r="U1407" s="1175"/>
      <c r="V1407" s="1175"/>
      <c r="W1407" s="1175"/>
      <c r="X1407" s="1175"/>
      <c r="Y1407" s="1175"/>
      <c r="Z1407" s="1175"/>
      <c r="AA1407" s="1176"/>
      <c r="AB1407" s="1176"/>
      <c r="AC1407" s="1176"/>
    </row>
    <row r="1408" spans="16:29">
      <c r="P1408" s="1175"/>
      <c r="Q1408" s="1175"/>
      <c r="R1408" s="1175"/>
      <c r="S1408" s="1175"/>
      <c r="T1408" s="1175"/>
      <c r="U1408" s="1175"/>
      <c r="V1408" s="1175"/>
      <c r="W1408" s="1175"/>
      <c r="X1408" s="1175"/>
      <c r="Y1408" s="1175"/>
      <c r="Z1408" s="1175"/>
      <c r="AA1408" s="1176"/>
      <c r="AB1408" s="1176"/>
      <c r="AC1408" s="1176"/>
    </row>
    <row r="1409" spans="16:29">
      <c r="P1409" s="1175"/>
      <c r="Q1409" s="1175"/>
      <c r="R1409" s="1175"/>
      <c r="S1409" s="1175"/>
      <c r="T1409" s="1175"/>
      <c r="U1409" s="1175"/>
      <c r="V1409" s="1175"/>
      <c r="W1409" s="1175"/>
      <c r="X1409" s="1175"/>
      <c r="Y1409" s="1175"/>
      <c r="Z1409" s="1175"/>
      <c r="AA1409" s="1176"/>
      <c r="AB1409" s="1176"/>
      <c r="AC1409" s="1176"/>
    </row>
    <row r="1410" spans="16:29">
      <c r="P1410" s="1175"/>
      <c r="Q1410" s="1175"/>
      <c r="R1410" s="1175"/>
      <c r="S1410" s="1175"/>
      <c r="T1410" s="1175"/>
      <c r="U1410" s="1175"/>
      <c r="V1410" s="1175"/>
      <c r="W1410" s="1175"/>
      <c r="X1410" s="1175"/>
      <c r="Y1410" s="1175"/>
      <c r="Z1410" s="1175"/>
      <c r="AA1410" s="1176"/>
      <c r="AB1410" s="1176"/>
      <c r="AC1410" s="1176"/>
    </row>
    <row r="1411" spans="16:29">
      <c r="P1411" s="1175"/>
      <c r="Q1411" s="1175"/>
      <c r="R1411" s="1175"/>
      <c r="S1411" s="1175"/>
      <c r="T1411" s="1175"/>
      <c r="U1411" s="1175"/>
      <c r="V1411" s="1175"/>
      <c r="W1411" s="1175"/>
      <c r="X1411" s="1175"/>
      <c r="Y1411" s="1175"/>
      <c r="Z1411" s="1175"/>
      <c r="AA1411" s="1176"/>
      <c r="AB1411" s="1176"/>
      <c r="AC1411" s="1176"/>
    </row>
    <row r="1412" spans="16:29">
      <c r="P1412" s="1175"/>
      <c r="Q1412" s="1175"/>
      <c r="R1412" s="1175"/>
      <c r="S1412" s="1175"/>
      <c r="T1412" s="1175"/>
      <c r="U1412" s="1175"/>
      <c r="V1412" s="1175"/>
      <c r="W1412" s="1175"/>
      <c r="X1412" s="1175"/>
      <c r="Y1412" s="1175"/>
      <c r="Z1412" s="1175"/>
      <c r="AA1412" s="1176"/>
      <c r="AB1412" s="1176"/>
      <c r="AC1412" s="1176"/>
    </row>
    <row r="1413" spans="16:29">
      <c r="P1413" s="1175"/>
      <c r="Q1413" s="1175"/>
      <c r="R1413" s="1175"/>
      <c r="S1413" s="1175"/>
      <c r="T1413" s="1175"/>
      <c r="U1413" s="1175"/>
      <c r="V1413" s="1175"/>
      <c r="W1413" s="1175"/>
      <c r="X1413" s="1175"/>
      <c r="Y1413" s="1175"/>
      <c r="Z1413" s="1175"/>
      <c r="AA1413" s="1176"/>
      <c r="AB1413" s="1176"/>
      <c r="AC1413" s="1176"/>
    </row>
    <row r="1414" spans="16:29">
      <c r="P1414" s="1175"/>
      <c r="Q1414" s="1175"/>
      <c r="R1414" s="1175"/>
      <c r="S1414" s="1175"/>
      <c r="T1414" s="1175"/>
      <c r="U1414" s="1175"/>
      <c r="V1414" s="1175"/>
      <c r="W1414" s="1175"/>
      <c r="X1414" s="1175"/>
      <c r="Y1414" s="1175"/>
      <c r="Z1414" s="1175"/>
      <c r="AA1414" s="1176"/>
      <c r="AB1414" s="1176"/>
      <c r="AC1414" s="1176"/>
    </row>
    <row r="1415" spans="16:29">
      <c r="P1415" s="1175"/>
      <c r="Q1415" s="1175"/>
      <c r="R1415" s="1175"/>
      <c r="S1415" s="1175"/>
      <c r="T1415" s="1175"/>
      <c r="U1415" s="1175"/>
      <c r="V1415" s="1175"/>
      <c r="W1415" s="1175"/>
      <c r="X1415" s="1175"/>
      <c r="Y1415" s="1175"/>
      <c r="Z1415" s="1175"/>
      <c r="AA1415" s="1176"/>
      <c r="AB1415" s="1176"/>
      <c r="AC1415" s="1176"/>
    </row>
    <row r="1416" spans="16:29">
      <c r="P1416" s="1175"/>
      <c r="Q1416" s="1175"/>
      <c r="R1416" s="1175"/>
      <c r="S1416" s="1175"/>
      <c r="T1416" s="1175"/>
      <c r="U1416" s="1175"/>
      <c r="V1416" s="1175"/>
      <c r="W1416" s="1175"/>
      <c r="X1416" s="1175"/>
      <c r="Y1416" s="1175"/>
      <c r="Z1416" s="1175"/>
      <c r="AA1416" s="1176"/>
      <c r="AB1416" s="1176"/>
      <c r="AC1416" s="1176"/>
    </row>
    <row r="1417" spans="16:29">
      <c r="P1417" s="1175"/>
      <c r="Q1417" s="1175"/>
      <c r="R1417" s="1175"/>
      <c r="S1417" s="1175"/>
      <c r="T1417" s="1175"/>
      <c r="U1417" s="1175"/>
      <c r="V1417" s="1175"/>
      <c r="W1417" s="1175"/>
      <c r="X1417" s="1175"/>
      <c r="Y1417" s="1175"/>
      <c r="Z1417" s="1175"/>
      <c r="AA1417" s="1176"/>
      <c r="AB1417" s="1176"/>
      <c r="AC1417" s="1176"/>
    </row>
    <row r="1418" spans="16:29">
      <c r="P1418" s="1175"/>
      <c r="Q1418" s="1175"/>
      <c r="R1418" s="1175"/>
      <c r="S1418" s="1175"/>
      <c r="T1418" s="1175"/>
      <c r="U1418" s="1175"/>
      <c r="V1418" s="1175"/>
      <c r="W1418" s="1175"/>
      <c r="X1418" s="1175"/>
      <c r="Y1418" s="1175"/>
      <c r="Z1418" s="1175"/>
      <c r="AA1418" s="1176"/>
      <c r="AB1418" s="1176"/>
      <c r="AC1418" s="1176"/>
    </row>
    <row r="1419" spans="16:29">
      <c r="P1419" s="1175"/>
      <c r="Q1419" s="1175"/>
      <c r="R1419" s="1175"/>
      <c r="S1419" s="1175"/>
      <c r="T1419" s="1175"/>
      <c r="U1419" s="1175"/>
      <c r="V1419" s="1175"/>
      <c r="W1419" s="1175"/>
      <c r="X1419" s="1175"/>
      <c r="Y1419" s="1175"/>
      <c r="Z1419" s="1175"/>
      <c r="AA1419" s="1176"/>
      <c r="AB1419" s="1176"/>
      <c r="AC1419" s="1176"/>
    </row>
    <row r="1420" spans="16:29">
      <c r="P1420" s="1175"/>
      <c r="Q1420" s="1175"/>
      <c r="R1420" s="1175"/>
      <c r="S1420" s="1175"/>
      <c r="T1420" s="1175"/>
      <c r="U1420" s="1175"/>
      <c r="V1420" s="1175"/>
      <c r="W1420" s="1175"/>
      <c r="X1420" s="1175"/>
      <c r="Y1420" s="1175"/>
      <c r="Z1420" s="1175"/>
      <c r="AA1420" s="1176"/>
      <c r="AB1420" s="1176"/>
      <c r="AC1420" s="1176"/>
    </row>
    <row r="1421" spans="16:29">
      <c r="P1421" s="1175"/>
      <c r="Q1421" s="1175"/>
      <c r="R1421" s="1175"/>
      <c r="S1421" s="1175"/>
      <c r="T1421" s="1175"/>
      <c r="U1421" s="1175"/>
      <c r="V1421" s="1175"/>
      <c r="W1421" s="1175"/>
      <c r="X1421" s="1175"/>
      <c r="Y1421" s="1175"/>
      <c r="Z1421" s="1175"/>
      <c r="AA1421" s="1176"/>
      <c r="AB1421" s="1176"/>
      <c r="AC1421" s="1176"/>
    </row>
    <row r="1422" spans="16:29">
      <c r="P1422" s="1175"/>
      <c r="Q1422" s="1175"/>
      <c r="R1422" s="1175"/>
      <c r="S1422" s="1175"/>
      <c r="T1422" s="1175"/>
      <c r="U1422" s="1175"/>
      <c r="V1422" s="1175"/>
      <c r="W1422" s="1175"/>
      <c r="X1422" s="1175"/>
      <c r="Y1422" s="1175"/>
      <c r="Z1422" s="1175"/>
      <c r="AA1422" s="1176"/>
      <c r="AB1422" s="1176"/>
      <c r="AC1422" s="1176"/>
    </row>
    <row r="1423" spans="16:29">
      <c r="P1423" s="1175"/>
      <c r="Q1423" s="1175"/>
      <c r="R1423" s="1175"/>
      <c r="S1423" s="1175"/>
      <c r="T1423" s="1175"/>
      <c r="U1423" s="1175"/>
      <c r="V1423" s="1175"/>
      <c r="W1423" s="1175"/>
      <c r="X1423" s="1175"/>
      <c r="Y1423" s="1175"/>
      <c r="Z1423" s="1175"/>
      <c r="AA1423" s="1176"/>
      <c r="AB1423" s="1176"/>
      <c r="AC1423" s="1176"/>
    </row>
    <row r="1424" spans="16:29">
      <c r="P1424" s="1175"/>
      <c r="Q1424" s="1175"/>
      <c r="R1424" s="1175"/>
      <c r="S1424" s="1175"/>
      <c r="T1424" s="1175"/>
      <c r="U1424" s="1175"/>
      <c r="V1424" s="1175"/>
      <c r="W1424" s="1175"/>
      <c r="X1424" s="1175"/>
      <c r="Y1424" s="1175"/>
      <c r="Z1424" s="1175"/>
      <c r="AA1424" s="1176"/>
      <c r="AB1424" s="1176"/>
      <c r="AC1424" s="1176"/>
    </row>
    <row r="1425" spans="16:29">
      <c r="P1425" s="1175"/>
      <c r="Q1425" s="1175"/>
      <c r="R1425" s="1175"/>
      <c r="S1425" s="1175"/>
      <c r="T1425" s="1175"/>
      <c r="U1425" s="1175"/>
      <c r="V1425" s="1175"/>
      <c r="W1425" s="1175"/>
      <c r="X1425" s="1175"/>
      <c r="Y1425" s="1175"/>
      <c r="Z1425" s="1175"/>
      <c r="AA1425" s="1176"/>
      <c r="AB1425" s="1176"/>
      <c r="AC1425" s="1176"/>
    </row>
    <row r="1426" spans="16:29">
      <c r="P1426" s="1175"/>
      <c r="Q1426" s="1175"/>
      <c r="R1426" s="1175"/>
      <c r="S1426" s="1175"/>
      <c r="T1426" s="1175"/>
      <c r="U1426" s="1175"/>
      <c r="V1426" s="1175"/>
      <c r="W1426" s="1175"/>
      <c r="X1426" s="1175"/>
      <c r="Y1426" s="1175"/>
      <c r="Z1426" s="1175"/>
      <c r="AA1426" s="1176"/>
      <c r="AB1426" s="1176"/>
      <c r="AC1426" s="1176"/>
    </row>
    <row r="1427" spans="16:29">
      <c r="P1427" s="1175"/>
      <c r="Q1427" s="1175"/>
      <c r="R1427" s="1175"/>
      <c r="S1427" s="1175"/>
      <c r="T1427" s="1175"/>
      <c r="U1427" s="1175"/>
      <c r="V1427" s="1175"/>
      <c r="W1427" s="1175"/>
      <c r="X1427" s="1175"/>
      <c r="Y1427" s="1175"/>
      <c r="Z1427" s="1175"/>
      <c r="AA1427" s="1176"/>
      <c r="AB1427" s="1176"/>
      <c r="AC1427" s="1176"/>
    </row>
    <row r="1428" spans="16:29">
      <c r="P1428" s="1175"/>
      <c r="Q1428" s="1175"/>
      <c r="R1428" s="1175"/>
      <c r="S1428" s="1175"/>
      <c r="T1428" s="1175"/>
      <c r="U1428" s="1175"/>
      <c r="V1428" s="1175"/>
      <c r="W1428" s="1175"/>
      <c r="X1428" s="1175"/>
      <c r="Y1428" s="1175"/>
      <c r="Z1428" s="1175"/>
      <c r="AA1428" s="1176"/>
      <c r="AB1428" s="1176"/>
      <c r="AC1428" s="1176"/>
    </row>
    <row r="1429" spans="16:29">
      <c r="P1429" s="1175"/>
      <c r="Q1429" s="1175"/>
      <c r="R1429" s="1175"/>
      <c r="S1429" s="1175"/>
      <c r="T1429" s="1175"/>
      <c r="U1429" s="1175"/>
      <c r="V1429" s="1175"/>
      <c r="W1429" s="1175"/>
      <c r="X1429" s="1175"/>
      <c r="Y1429" s="1175"/>
      <c r="Z1429" s="1175"/>
      <c r="AA1429" s="1176"/>
      <c r="AB1429" s="1176"/>
      <c r="AC1429" s="1176"/>
    </row>
    <row r="1430" spans="16:29">
      <c r="P1430" s="1175"/>
      <c r="Q1430" s="1175"/>
      <c r="R1430" s="1175"/>
      <c r="S1430" s="1175"/>
      <c r="T1430" s="1175"/>
      <c r="U1430" s="1175"/>
      <c r="V1430" s="1175"/>
      <c r="W1430" s="1175"/>
      <c r="X1430" s="1175"/>
      <c r="Y1430" s="1175"/>
      <c r="Z1430" s="1175"/>
      <c r="AA1430" s="1176"/>
      <c r="AB1430" s="1176"/>
      <c r="AC1430" s="1176"/>
    </row>
    <row r="1431" spans="16:29">
      <c r="P1431" s="1175"/>
      <c r="Q1431" s="1175"/>
      <c r="R1431" s="1175"/>
      <c r="S1431" s="1175"/>
      <c r="T1431" s="1175"/>
      <c r="U1431" s="1175"/>
      <c r="V1431" s="1175"/>
      <c r="W1431" s="1175"/>
      <c r="X1431" s="1175"/>
      <c r="Y1431" s="1175"/>
      <c r="Z1431" s="1175"/>
      <c r="AA1431" s="1176"/>
      <c r="AB1431" s="1176"/>
      <c r="AC1431" s="1176"/>
    </row>
    <row r="1432" spans="16:29">
      <c r="P1432" s="1175"/>
      <c r="Q1432" s="1175"/>
      <c r="R1432" s="1175"/>
      <c r="S1432" s="1175"/>
      <c r="T1432" s="1175"/>
      <c r="U1432" s="1175"/>
      <c r="V1432" s="1175"/>
      <c r="W1432" s="1175"/>
      <c r="X1432" s="1175"/>
      <c r="Y1432" s="1175"/>
      <c r="Z1432" s="1175"/>
      <c r="AA1432" s="1176"/>
      <c r="AB1432" s="1176"/>
      <c r="AC1432" s="1176"/>
    </row>
    <row r="1433" spans="16:29">
      <c r="P1433" s="1175"/>
      <c r="Q1433" s="1175"/>
      <c r="R1433" s="1175"/>
      <c r="S1433" s="1175"/>
      <c r="T1433" s="1175"/>
      <c r="U1433" s="1175"/>
      <c r="V1433" s="1175"/>
      <c r="W1433" s="1175"/>
      <c r="X1433" s="1175"/>
      <c r="Y1433" s="1175"/>
      <c r="Z1433" s="1175"/>
      <c r="AA1433" s="1176"/>
      <c r="AB1433" s="1176"/>
      <c r="AC1433" s="1176"/>
    </row>
    <row r="1434" spans="16:29">
      <c r="P1434" s="1175"/>
      <c r="Q1434" s="1175"/>
      <c r="R1434" s="1175"/>
      <c r="S1434" s="1175"/>
      <c r="T1434" s="1175"/>
      <c r="U1434" s="1175"/>
      <c r="V1434" s="1175"/>
      <c r="W1434" s="1175"/>
      <c r="X1434" s="1175"/>
      <c r="Y1434" s="1175"/>
      <c r="Z1434" s="1175"/>
      <c r="AA1434" s="1176"/>
      <c r="AB1434" s="1176"/>
      <c r="AC1434" s="1176"/>
    </row>
    <row r="1435" spans="16:29">
      <c r="P1435" s="1175"/>
      <c r="Q1435" s="1175"/>
      <c r="R1435" s="1175"/>
      <c r="S1435" s="1175"/>
      <c r="T1435" s="1175"/>
      <c r="U1435" s="1175"/>
      <c r="V1435" s="1175"/>
      <c r="W1435" s="1175"/>
      <c r="X1435" s="1175"/>
      <c r="Y1435" s="1175"/>
      <c r="Z1435" s="1175"/>
      <c r="AA1435" s="1176"/>
      <c r="AB1435" s="1176"/>
      <c r="AC1435" s="1176"/>
    </row>
    <row r="1436" spans="16:29">
      <c r="P1436" s="1175"/>
      <c r="Q1436" s="1175"/>
      <c r="R1436" s="1175"/>
      <c r="S1436" s="1175"/>
      <c r="T1436" s="1175"/>
      <c r="U1436" s="1175"/>
      <c r="V1436" s="1175"/>
      <c r="W1436" s="1175"/>
      <c r="X1436" s="1175"/>
      <c r="Y1436" s="1175"/>
      <c r="Z1436" s="1175"/>
      <c r="AA1436" s="1176"/>
      <c r="AB1436" s="1176"/>
      <c r="AC1436" s="1176"/>
    </row>
    <row r="1437" spans="16:29">
      <c r="P1437" s="1175"/>
      <c r="Q1437" s="1175"/>
      <c r="R1437" s="1175"/>
      <c r="S1437" s="1175"/>
      <c r="T1437" s="1175"/>
      <c r="U1437" s="1175"/>
      <c r="V1437" s="1175"/>
      <c r="W1437" s="1175"/>
      <c r="X1437" s="1175"/>
      <c r="Y1437" s="1175"/>
      <c r="Z1437" s="1175"/>
      <c r="AA1437" s="1176"/>
      <c r="AB1437" s="1176"/>
      <c r="AC1437" s="1176"/>
    </row>
    <row r="1438" spans="16:29">
      <c r="P1438" s="1175"/>
      <c r="Q1438" s="1175"/>
      <c r="R1438" s="1175"/>
      <c r="S1438" s="1175"/>
      <c r="T1438" s="1175"/>
      <c r="U1438" s="1175"/>
      <c r="V1438" s="1175"/>
      <c r="W1438" s="1175"/>
      <c r="X1438" s="1175"/>
      <c r="Y1438" s="1175"/>
      <c r="Z1438" s="1175"/>
      <c r="AA1438" s="1176"/>
      <c r="AB1438" s="1176"/>
      <c r="AC1438" s="1176"/>
    </row>
    <row r="1439" spans="16:29">
      <c r="P1439" s="1175"/>
      <c r="Q1439" s="1175"/>
      <c r="R1439" s="1175"/>
      <c r="S1439" s="1175"/>
      <c r="T1439" s="1175"/>
      <c r="U1439" s="1175"/>
      <c r="V1439" s="1175"/>
      <c r="W1439" s="1175"/>
      <c r="X1439" s="1175"/>
      <c r="Y1439" s="1175"/>
      <c r="Z1439" s="1175"/>
      <c r="AA1439" s="1176"/>
      <c r="AB1439" s="1176"/>
      <c r="AC1439" s="1176"/>
    </row>
    <row r="1440" spans="16:29">
      <c r="P1440" s="1175"/>
      <c r="Q1440" s="1175"/>
      <c r="R1440" s="1175"/>
      <c r="S1440" s="1175"/>
      <c r="T1440" s="1175"/>
      <c r="U1440" s="1175"/>
      <c r="V1440" s="1175"/>
      <c r="W1440" s="1175"/>
      <c r="X1440" s="1175"/>
      <c r="Y1440" s="1175"/>
      <c r="Z1440" s="1175"/>
      <c r="AA1440" s="1176"/>
      <c r="AB1440" s="1176"/>
      <c r="AC1440" s="1176"/>
    </row>
    <row r="1441" spans="16:29">
      <c r="P1441" s="1175"/>
      <c r="Q1441" s="1175"/>
      <c r="R1441" s="1175"/>
      <c r="S1441" s="1175"/>
      <c r="T1441" s="1175"/>
      <c r="U1441" s="1175"/>
      <c r="V1441" s="1175"/>
      <c r="W1441" s="1175"/>
      <c r="X1441" s="1175"/>
      <c r="Y1441" s="1175"/>
      <c r="Z1441" s="1175"/>
      <c r="AA1441" s="1176"/>
      <c r="AB1441" s="1176"/>
      <c r="AC1441" s="1176"/>
    </row>
    <row r="1442" spans="16:29">
      <c r="P1442" s="1175"/>
      <c r="Q1442" s="1175"/>
      <c r="R1442" s="1175"/>
      <c r="S1442" s="1175"/>
      <c r="T1442" s="1175"/>
      <c r="U1442" s="1175"/>
      <c r="V1442" s="1175"/>
      <c r="W1442" s="1175"/>
      <c r="X1442" s="1175"/>
      <c r="Y1442" s="1175"/>
      <c r="Z1442" s="1175"/>
      <c r="AA1442" s="1176"/>
      <c r="AB1442" s="1176"/>
      <c r="AC1442" s="1176"/>
    </row>
    <row r="1443" spans="16:29">
      <c r="P1443" s="1175"/>
      <c r="Q1443" s="1175"/>
      <c r="R1443" s="1175"/>
      <c r="S1443" s="1175"/>
      <c r="T1443" s="1175"/>
      <c r="U1443" s="1175"/>
      <c r="V1443" s="1175"/>
      <c r="W1443" s="1175"/>
      <c r="X1443" s="1175"/>
      <c r="Y1443" s="1175"/>
      <c r="Z1443" s="1175"/>
      <c r="AA1443" s="1176"/>
      <c r="AB1443" s="1176"/>
      <c r="AC1443" s="1176"/>
    </row>
    <row r="1444" spans="16:29">
      <c r="P1444" s="1175"/>
      <c r="Q1444" s="1175"/>
      <c r="R1444" s="1175"/>
      <c r="S1444" s="1175"/>
      <c r="T1444" s="1175"/>
      <c r="U1444" s="1175"/>
      <c r="V1444" s="1175"/>
      <c r="W1444" s="1175"/>
      <c r="X1444" s="1175"/>
      <c r="Y1444" s="1175"/>
      <c r="Z1444" s="1175"/>
      <c r="AA1444" s="1176"/>
      <c r="AB1444" s="1176"/>
      <c r="AC1444" s="1176"/>
    </row>
    <row r="1445" spans="16:29">
      <c r="P1445" s="1175"/>
      <c r="Q1445" s="1175"/>
      <c r="R1445" s="1175"/>
      <c r="S1445" s="1175"/>
      <c r="T1445" s="1175"/>
      <c r="U1445" s="1175"/>
      <c r="V1445" s="1175"/>
      <c r="W1445" s="1175"/>
      <c r="X1445" s="1175"/>
      <c r="Y1445" s="1175"/>
      <c r="Z1445" s="1175"/>
      <c r="AA1445" s="1176"/>
      <c r="AB1445" s="1176"/>
      <c r="AC1445" s="1176"/>
    </row>
    <row r="1446" spans="16:29">
      <c r="P1446" s="1175"/>
      <c r="Q1446" s="1175"/>
      <c r="R1446" s="1175"/>
      <c r="S1446" s="1175"/>
      <c r="T1446" s="1175"/>
      <c r="U1446" s="1175"/>
      <c r="V1446" s="1175"/>
      <c r="W1446" s="1175"/>
      <c r="X1446" s="1175"/>
      <c r="Y1446" s="1175"/>
      <c r="Z1446" s="1175"/>
      <c r="AA1446" s="1176"/>
      <c r="AB1446" s="1176"/>
      <c r="AC1446" s="1176"/>
    </row>
    <row r="1447" spans="16:29">
      <c r="P1447" s="1175"/>
      <c r="Q1447" s="1175"/>
      <c r="R1447" s="1175"/>
      <c r="S1447" s="1175"/>
      <c r="T1447" s="1175"/>
      <c r="U1447" s="1175"/>
      <c r="V1447" s="1175"/>
      <c r="W1447" s="1175"/>
      <c r="X1447" s="1175"/>
      <c r="Y1447" s="1175"/>
      <c r="Z1447" s="1175"/>
      <c r="AA1447" s="1176"/>
      <c r="AB1447" s="1176"/>
      <c r="AC1447" s="1176"/>
    </row>
    <row r="1448" spans="16:29">
      <c r="P1448" s="1175"/>
      <c r="Q1448" s="1175"/>
      <c r="R1448" s="1175"/>
      <c r="S1448" s="1175"/>
      <c r="T1448" s="1175"/>
      <c r="U1448" s="1175"/>
      <c r="V1448" s="1175"/>
      <c r="W1448" s="1175"/>
      <c r="X1448" s="1175"/>
      <c r="Y1448" s="1175"/>
      <c r="Z1448" s="1175"/>
      <c r="AA1448" s="1176"/>
      <c r="AB1448" s="1176"/>
      <c r="AC1448" s="1176"/>
    </row>
    <row r="1449" spans="16:29">
      <c r="P1449" s="1175"/>
      <c r="Q1449" s="1175"/>
      <c r="R1449" s="1175"/>
      <c r="S1449" s="1175"/>
      <c r="T1449" s="1175"/>
      <c r="U1449" s="1175"/>
      <c r="V1449" s="1175"/>
      <c r="W1449" s="1175"/>
      <c r="X1449" s="1175"/>
      <c r="Y1449" s="1175"/>
      <c r="Z1449" s="1175"/>
      <c r="AA1449" s="1176"/>
      <c r="AB1449" s="1176"/>
      <c r="AC1449" s="1176"/>
    </row>
    <row r="1450" spans="16:29">
      <c r="P1450" s="1175"/>
      <c r="Q1450" s="1175"/>
      <c r="R1450" s="1175"/>
      <c r="S1450" s="1175"/>
      <c r="T1450" s="1175"/>
      <c r="U1450" s="1175"/>
      <c r="V1450" s="1175"/>
      <c r="W1450" s="1175"/>
      <c r="X1450" s="1175"/>
      <c r="Y1450" s="1175"/>
      <c r="Z1450" s="1175"/>
      <c r="AA1450" s="1176"/>
      <c r="AB1450" s="1176"/>
      <c r="AC1450" s="1176"/>
    </row>
    <row r="1451" spans="16:29">
      <c r="P1451" s="1175"/>
      <c r="Q1451" s="1175"/>
      <c r="R1451" s="1175"/>
      <c r="S1451" s="1175"/>
      <c r="T1451" s="1175"/>
      <c r="U1451" s="1175"/>
      <c r="V1451" s="1175"/>
      <c r="W1451" s="1175"/>
      <c r="X1451" s="1175"/>
      <c r="Y1451" s="1175"/>
      <c r="Z1451" s="1175"/>
      <c r="AA1451" s="1176"/>
      <c r="AB1451" s="1176"/>
      <c r="AC1451" s="1176"/>
    </row>
    <row r="1452" spans="16:29">
      <c r="P1452" s="1175"/>
      <c r="Q1452" s="1175"/>
      <c r="R1452" s="1175"/>
      <c r="S1452" s="1175"/>
      <c r="T1452" s="1175"/>
      <c r="U1452" s="1175"/>
      <c r="V1452" s="1175"/>
      <c r="W1452" s="1175"/>
      <c r="X1452" s="1175"/>
      <c r="Y1452" s="1175"/>
      <c r="Z1452" s="1175"/>
      <c r="AA1452" s="1176"/>
      <c r="AB1452" s="1176"/>
      <c r="AC1452" s="1176"/>
    </row>
    <row r="1453" spans="16:29">
      <c r="P1453" s="1175"/>
      <c r="Q1453" s="1175"/>
      <c r="R1453" s="1175"/>
      <c r="S1453" s="1175"/>
      <c r="T1453" s="1175"/>
      <c r="U1453" s="1175"/>
      <c r="V1453" s="1175"/>
      <c r="W1453" s="1175"/>
      <c r="X1453" s="1175"/>
      <c r="Y1453" s="1175"/>
      <c r="Z1453" s="1175"/>
      <c r="AA1453" s="1176"/>
      <c r="AB1453" s="1176"/>
      <c r="AC1453" s="1176"/>
    </row>
    <row r="1454" spans="16:29">
      <c r="P1454" s="1175"/>
      <c r="Q1454" s="1175"/>
      <c r="R1454" s="1175"/>
      <c r="S1454" s="1175"/>
      <c r="T1454" s="1175"/>
      <c r="U1454" s="1175"/>
      <c r="V1454" s="1175"/>
      <c r="W1454" s="1175"/>
      <c r="X1454" s="1175"/>
      <c r="Y1454" s="1175"/>
      <c r="Z1454" s="1175"/>
      <c r="AA1454" s="1176"/>
      <c r="AB1454" s="1176"/>
      <c r="AC1454" s="1176"/>
    </row>
    <row r="1455" spans="16:29">
      <c r="P1455" s="1175"/>
      <c r="Q1455" s="1175"/>
      <c r="R1455" s="1175"/>
      <c r="S1455" s="1175"/>
      <c r="T1455" s="1175"/>
      <c r="U1455" s="1175"/>
      <c r="V1455" s="1175"/>
      <c r="W1455" s="1175"/>
      <c r="X1455" s="1175"/>
      <c r="Y1455" s="1175"/>
      <c r="Z1455" s="1175"/>
      <c r="AA1455" s="1176"/>
      <c r="AB1455" s="1176"/>
      <c r="AC1455" s="1176"/>
    </row>
    <row r="1456" spans="16:29">
      <c r="P1456" s="1175"/>
      <c r="Q1456" s="1175"/>
      <c r="R1456" s="1175"/>
      <c r="S1456" s="1175"/>
      <c r="T1456" s="1175"/>
      <c r="U1456" s="1175"/>
      <c r="V1456" s="1175"/>
      <c r="W1456" s="1175"/>
      <c r="X1456" s="1175"/>
      <c r="Y1456" s="1175"/>
      <c r="Z1456" s="1175"/>
      <c r="AA1456" s="1176"/>
      <c r="AB1456" s="1176"/>
      <c r="AC1456" s="1176"/>
    </row>
    <row r="1457" spans="16:29">
      <c r="P1457" s="1175"/>
      <c r="Q1457" s="1175"/>
      <c r="R1457" s="1175"/>
      <c r="S1457" s="1175"/>
      <c r="T1457" s="1175"/>
      <c r="U1457" s="1175"/>
      <c r="V1457" s="1175"/>
      <c r="W1457" s="1175"/>
      <c r="X1457" s="1175"/>
      <c r="Y1457" s="1175"/>
      <c r="Z1457" s="1175"/>
      <c r="AA1457" s="1176"/>
      <c r="AB1457" s="1176"/>
      <c r="AC1457" s="1176"/>
    </row>
    <row r="1458" spans="16:29">
      <c r="P1458" s="1175"/>
      <c r="Q1458" s="1175"/>
      <c r="R1458" s="1175"/>
      <c r="S1458" s="1175"/>
      <c r="T1458" s="1175"/>
      <c r="U1458" s="1175"/>
      <c r="V1458" s="1175"/>
      <c r="W1458" s="1175"/>
      <c r="X1458" s="1175"/>
      <c r="Y1458" s="1175"/>
      <c r="Z1458" s="1175"/>
      <c r="AA1458" s="1176"/>
      <c r="AB1458" s="1176"/>
      <c r="AC1458" s="1176"/>
    </row>
    <row r="1459" spans="16:29">
      <c r="P1459" s="1175"/>
      <c r="Q1459" s="1175"/>
      <c r="R1459" s="1175"/>
      <c r="S1459" s="1175"/>
      <c r="T1459" s="1175"/>
      <c r="U1459" s="1175"/>
      <c r="V1459" s="1175"/>
      <c r="W1459" s="1175"/>
      <c r="X1459" s="1175"/>
      <c r="Y1459" s="1175"/>
      <c r="Z1459" s="1175"/>
      <c r="AA1459" s="1176"/>
      <c r="AB1459" s="1176"/>
      <c r="AC1459" s="1176"/>
    </row>
    <row r="1460" spans="16:29">
      <c r="P1460" s="1175"/>
      <c r="Q1460" s="1175"/>
      <c r="R1460" s="1175"/>
      <c r="S1460" s="1175"/>
      <c r="T1460" s="1175"/>
      <c r="U1460" s="1175"/>
      <c r="V1460" s="1175"/>
      <c r="W1460" s="1175"/>
      <c r="X1460" s="1175"/>
      <c r="Y1460" s="1175"/>
      <c r="Z1460" s="1175"/>
      <c r="AA1460" s="1176"/>
      <c r="AB1460" s="1176"/>
      <c r="AC1460" s="1176"/>
    </row>
    <row r="1461" spans="16:29">
      <c r="P1461" s="1175"/>
      <c r="Q1461" s="1175"/>
      <c r="R1461" s="1175"/>
      <c r="S1461" s="1175"/>
      <c r="T1461" s="1175"/>
      <c r="U1461" s="1175"/>
      <c r="V1461" s="1175"/>
      <c r="W1461" s="1175"/>
      <c r="X1461" s="1175"/>
      <c r="Y1461" s="1175"/>
      <c r="Z1461" s="1175"/>
      <c r="AA1461" s="1176"/>
      <c r="AB1461" s="1176"/>
      <c r="AC1461" s="1176"/>
    </row>
    <row r="1462" spans="16:29">
      <c r="P1462" s="1175"/>
      <c r="Q1462" s="1175"/>
      <c r="R1462" s="1175"/>
      <c r="S1462" s="1175"/>
      <c r="T1462" s="1175"/>
      <c r="U1462" s="1175"/>
      <c r="V1462" s="1175"/>
      <c r="W1462" s="1175"/>
      <c r="X1462" s="1175"/>
      <c r="Y1462" s="1175"/>
      <c r="Z1462" s="1175"/>
      <c r="AA1462" s="1176"/>
      <c r="AB1462" s="1176"/>
      <c r="AC1462" s="1176"/>
    </row>
    <row r="1463" spans="16:29">
      <c r="P1463" s="1175"/>
      <c r="Q1463" s="1175"/>
      <c r="R1463" s="1175"/>
      <c r="S1463" s="1175"/>
      <c r="T1463" s="1175"/>
      <c r="U1463" s="1175"/>
      <c r="V1463" s="1175"/>
      <c r="W1463" s="1175"/>
      <c r="X1463" s="1175"/>
      <c r="Y1463" s="1175"/>
      <c r="Z1463" s="1175"/>
      <c r="AA1463" s="1176"/>
      <c r="AB1463" s="1176"/>
      <c r="AC1463" s="1176"/>
    </row>
    <row r="1464" spans="16:29">
      <c r="P1464" s="1175"/>
      <c r="Q1464" s="1175"/>
      <c r="R1464" s="1175"/>
      <c r="S1464" s="1175"/>
      <c r="T1464" s="1175"/>
      <c r="U1464" s="1175"/>
      <c r="V1464" s="1175"/>
      <c r="W1464" s="1175"/>
      <c r="X1464" s="1175"/>
      <c r="Y1464" s="1175"/>
      <c r="Z1464" s="1175"/>
      <c r="AA1464" s="1176"/>
      <c r="AB1464" s="1176"/>
      <c r="AC1464" s="1176"/>
    </row>
    <row r="1465" spans="16:29">
      <c r="P1465" s="1175"/>
      <c r="Q1465" s="1175"/>
      <c r="R1465" s="1175"/>
      <c r="S1465" s="1175"/>
      <c r="T1465" s="1175"/>
      <c r="U1465" s="1175"/>
      <c r="V1465" s="1175"/>
      <c r="W1465" s="1175"/>
      <c r="X1465" s="1175"/>
      <c r="Y1465" s="1175"/>
      <c r="Z1465" s="1175"/>
      <c r="AA1465" s="1176"/>
      <c r="AB1465" s="1176"/>
      <c r="AC1465" s="1176"/>
    </row>
    <row r="1466" spans="16:29">
      <c r="P1466" s="1175"/>
      <c r="Q1466" s="1175"/>
      <c r="R1466" s="1175"/>
      <c r="S1466" s="1175"/>
      <c r="T1466" s="1175"/>
      <c r="U1466" s="1175"/>
      <c r="V1466" s="1175"/>
      <c r="W1466" s="1175"/>
      <c r="X1466" s="1175"/>
      <c r="Y1466" s="1175"/>
      <c r="Z1466" s="1175"/>
      <c r="AA1466" s="1176"/>
      <c r="AB1466" s="1176"/>
      <c r="AC1466" s="1176"/>
    </row>
    <row r="1467" spans="16:29">
      <c r="P1467" s="1175"/>
      <c r="Q1467" s="1175"/>
      <c r="R1467" s="1175"/>
      <c r="S1467" s="1175"/>
      <c r="T1467" s="1175"/>
      <c r="U1467" s="1175"/>
      <c r="V1467" s="1175"/>
      <c r="W1467" s="1175"/>
      <c r="X1467" s="1175"/>
      <c r="Y1467" s="1175"/>
      <c r="Z1467" s="1175"/>
      <c r="AA1467" s="1176"/>
      <c r="AB1467" s="1176"/>
      <c r="AC1467" s="1176"/>
    </row>
    <row r="1468" spans="16:29">
      <c r="P1468" s="1175"/>
      <c r="Q1468" s="1175"/>
      <c r="R1468" s="1175"/>
      <c r="S1468" s="1175"/>
      <c r="T1468" s="1175"/>
      <c r="U1468" s="1175"/>
      <c r="V1468" s="1175"/>
      <c r="W1468" s="1175"/>
      <c r="X1468" s="1175"/>
      <c r="Y1468" s="1175"/>
      <c r="Z1468" s="1175"/>
      <c r="AA1468" s="1176"/>
      <c r="AB1468" s="1176"/>
      <c r="AC1468" s="1176"/>
    </row>
    <row r="1469" spans="16:29">
      <c r="P1469" s="1175"/>
      <c r="Q1469" s="1175"/>
      <c r="R1469" s="1175"/>
      <c r="S1469" s="1175"/>
      <c r="T1469" s="1175"/>
      <c r="U1469" s="1175"/>
      <c r="V1469" s="1175"/>
      <c r="W1469" s="1175"/>
      <c r="X1469" s="1175"/>
      <c r="Y1469" s="1175"/>
      <c r="Z1469" s="1175"/>
      <c r="AA1469" s="1176"/>
      <c r="AB1469" s="1176"/>
      <c r="AC1469" s="1176"/>
    </row>
    <row r="1470" spans="16:29">
      <c r="P1470" s="1175"/>
      <c r="Q1470" s="1175"/>
      <c r="R1470" s="1175"/>
      <c r="S1470" s="1175"/>
      <c r="T1470" s="1175"/>
      <c r="U1470" s="1175"/>
      <c r="V1470" s="1175"/>
      <c r="W1470" s="1175"/>
      <c r="X1470" s="1175"/>
      <c r="Y1470" s="1175"/>
      <c r="Z1470" s="1175"/>
      <c r="AA1470" s="1176"/>
      <c r="AB1470" s="1176"/>
      <c r="AC1470" s="1176"/>
    </row>
    <row r="1471" spans="16:29">
      <c r="P1471" s="1175"/>
      <c r="Q1471" s="1175"/>
      <c r="R1471" s="1175"/>
      <c r="S1471" s="1175"/>
      <c r="T1471" s="1175"/>
      <c r="U1471" s="1175"/>
      <c r="V1471" s="1175"/>
      <c r="W1471" s="1175"/>
      <c r="X1471" s="1175"/>
      <c r="Y1471" s="1175"/>
      <c r="Z1471" s="1175"/>
      <c r="AA1471" s="1176"/>
      <c r="AB1471" s="1176"/>
      <c r="AC1471" s="1176"/>
    </row>
    <row r="1472" spans="16:29">
      <c r="P1472" s="1175"/>
      <c r="Q1472" s="1175"/>
      <c r="R1472" s="1175"/>
      <c r="S1472" s="1175"/>
      <c r="T1472" s="1175"/>
      <c r="U1472" s="1175"/>
      <c r="V1472" s="1175"/>
      <c r="W1472" s="1175"/>
      <c r="X1472" s="1175"/>
      <c r="Y1472" s="1175"/>
      <c r="Z1472" s="1175"/>
      <c r="AA1472" s="1176"/>
      <c r="AB1472" s="1176"/>
      <c r="AC1472" s="1176"/>
    </row>
    <row r="1473" spans="16:29">
      <c r="P1473" s="1175"/>
      <c r="Q1473" s="1175"/>
      <c r="R1473" s="1175"/>
      <c r="S1473" s="1175"/>
      <c r="T1473" s="1175"/>
      <c r="U1473" s="1175"/>
      <c r="V1473" s="1175"/>
      <c r="W1473" s="1175"/>
      <c r="X1473" s="1175"/>
      <c r="Y1473" s="1175"/>
      <c r="Z1473" s="1175"/>
      <c r="AA1473" s="1176"/>
      <c r="AB1473" s="1176"/>
      <c r="AC1473" s="1176"/>
    </row>
    <row r="1474" spans="16:29">
      <c r="P1474" s="1175"/>
      <c r="Q1474" s="1175"/>
      <c r="R1474" s="1175"/>
      <c r="S1474" s="1175"/>
      <c r="T1474" s="1175"/>
      <c r="U1474" s="1175"/>
      <c r="V1474" s="1175"/>
      <c r="W1474" s="1175"/>
      <c r="X1474" s="1175"/>
      <c r="Y1474" s="1175"/>
      <c r="Z1474" s="1175"/>
      <c r="AA1474" s="1176"/>
      <c r="AB1474" s="1176"/>
      <c r="AC1474" s="1176"/>
    </row>
    <row r="1475" spans="16:29">
      <c r="P1475" s="1175"/>
      <c r="Q1475" s="1175"/>
      <c r="R1475" s="1175"/>
      <c r="S1475" s="1175"/>
      <c r="T1475" s="1175"/>
      <c r="U1475" s="1175"/>
      <c r="V1475" s="1175"/>
      <c r="W1475" s="1175"/>
      <c r="X1475" s="1175"/>
      <c r="Y1475" s="1175"/>
      <c r="Z1475" s="1175"/>
      <c r="AA1475" s="1176"/>
      <c r="AB1475" s="1176"/>
      <c r="AC1475" s="1176"/>
    </row>
    <row r="1476" spans="16:29">
      <c r="P1476" s="1175"/>
      <c r="Q1476" s="1175"/>
      <c r="R1476" s="1175"/>
      <c r="S1476" s="1175"/>
      <c r="T1476" s="1175"/>
      <c r="U1476" s="1175"/>
      <c r="V1476" s="1175"/>
      <c r="W1476" s="1175"/>
      <c r="X1476" s="1175"/>
      <c r="Y1476" s="1175"/>
      <c r="Z1476" s="1175"/>
      <c r="AA1476" s="1176"/>
      <c r="AB1476" s="1176"/>
      <c r="AC1476" s="1176"/>
    </row>
    <row r="1477" spans="16:29">
      <c r="P1477" s="1175"/>
      <c r="Q1477" s="1175"/>
      <c r="R1477" s="1175"/>
      <c r="S1477" s="1175"/>
      <c r="T1477" s="1175"/>
      <c r="U1477" s="1175"/>
      <c r="V1477" s="1175"/>
      <c r="W1477" s="1175"/>
      <c r="X1477" s="1175"/>
      <c r="Y1477" s="1175"/>
      <c r="Z1477" s="1175"/>
      <c r="AA1477" s="1176"/>
      <c r="AB1477" s="1176"/>
      <c r="AC1477" s="1176"/>
    </row>
    <row r="1478" spans="16:29">
      <c r="P1478" s="1175"/>
      <c r="Q1478" s="1175"/>
      <c r="R1478" s="1175"/>
      <c r="S1478" s="1175"/>
      <c r="T1478" s="1175"/>
      <c r="U1478" s="1175"/>
      <c r="V1478" s="1175"/>
      <c r="W1478" s="1175"/>
      <c r="X1478" s="1175"/>
      <c r="Y1478" s="1175"/>
      <c r="Z1478" s="1175"/>
      <c r="AA1478" s="1176"/>
      <c r="AB1478" s="1176"/>
      <c r="AC1478" s="1176"/>
    </row>
    <row r="1479" spans="16:29">
      <c r="P1479" s="1175"/>
      <c r="Q1479" s="1175"/>
      <c r="R1479" s="1175"/>
      <c r="S1479" s="1175"/>
      <c r="T1479" s="1175"/>
      <c r="U1479" s="1175"/>
      <c r="V1479" s="1175"/>
      <c r="W1479" s="1175"/>
      <c r="X1479" s="1175"/>
      <c r="Y1479" s="1175"/>
      <c r="Z1479" s="1175"/>
      <c r="AA1479" s="1176"/>
      <c r="AB1479" s="1176"/>
      <c r="AC1479" s="1176"/>
    </row>
    <row r="1480" spans="16:29">
      <c r="P1480" s="1175"/>
      <c r="Q1480" s="1175"/>
      <c r="R1480" s="1175"/>
      <c r="S1480" s="1175"/>
      <c r="T1480" s="1175"/>
      <c r="U1480" s="1175"/>
      <c r="V1480" s="1175"/>
      <c r="W1480" s="1175"/>
      <c r="X1480" s="1175"/>
      <c r="Y1480" s="1175"/>
      <c r="Z1480" s="1175"/>
      <c r="AA1480" s="1176"/>
      <c r="AB1480" s="1176"/>
      <c r="AC1480" s="1176"/>
    </row>
    <row r="1481" spans="16:29">
      <c r="P1481" s="1175"/>
      <c r="Q1481" s="1175"/>
      <c r="R1481" s="1175"/>
      <c r="S1481" s="1175"/>
      <c r="T1481" s="1175"/>
      <c r="U1481" s="1175"/>
      <c r="V1481" s="1175"/>
      <c r="W1481" s="1175"/>
      <c r="X1481" s="1175"/>
      <c r="Y1481" s="1175"/>
      <c r="Z1481" s="1175"/>
      <c r="AA1481" s="1176"/>
      <c r="AB1481" s="1176"/>
      <c r="AC1481" s="1176"/>
    </row>
    <row r="1482" spans="16:29">
      <c r="P1482" s="1175"/>
      <c r="Q1482" s="1175"/>
      <c r="R1482" s="1175"/>
      <c r="S1482" s="1175"/>
      <c r="T1482" s="1175"/>
      <c r="U1482" s="1175"/>
      <c r="V1482" s="1175"/>
      <c r="W1482" s="1175"/>
      <c r="X1482" s="1175"/>
      <c r="Y1482" s="1175"/>
      <c r="Z1482" s="1175"/>
      <c r="AA1482" s="1176"/>
      <c r="AB1482" s="1176"/>
      <c r="AC1482" s="1176"/>
    </row>
    <row r="1483" spans="16:29">
      <c r="P1483" s="1175"/>
      <c r="Q1483" s="1175"/>
      <c r="R1483" s="1175"/>
      <c r="S1483" s="1175"/>
      <c r="T1483" s="1175"/>
      <c r="U1483" s="1175"/>
      <c r="V1483" s="1175"/>
      <c r="W1483" s="1175"/>
      <c r="X1483" s="1175"/>
      <c r="Y1483" s="1175"/>
      <c r="Z1483" s="1175"/>
      <c r="AA1483" s="1176"/>
      <c r="AB1483" s="1176"/>
      <c r="AC1483" s="1176"/>
    </row>
    <row r="1484" spans="16:29">
      <c r="P1484" s="1175"/>
      <c r="Q1484" s="1175"/>
      <c r="R1484" s="1175"/>
      <c r="S1484" s="1175"/>
      <c r="T1484" s="1175"/>
      <c r="U1484" s="1175"/>
      <c r="V1484" s="1175"/>
      <c r="W1484" s="1175"/>
      <c r="X1484" s="1175"/>
      <c r="Y1484" s="1175"/>
      <c r="Z1484" s="1175"/>
      <c r="AA1484" s="1176"/>
      <c r="AB1484" s="1176"/>
      <c r="AC1484" s="1176"/>
    </row>
    <row r="1485" spans="16:29">
      <c r="P1485" s="1175"/>
      <c r="Q1485" s="1175"/>
      <c r="R1485" s="1175"/>
      <c r="S1485" s="1175"/>
      <c r="T1485" s="1175"/>
      <c r="U1485" s="1175"/>
      <c r="V1485" s="1175"/>
      <c r="W1485" s="1175"/>
      <c r="X1485" s="1175"/>
      <c r="Y1485" s="1175"/>
      <c r="Z1485" s="1175"/>
      <c r="AA1485" s="1176"/>
      <c r="AB1485" s="1176"/>
      <c r="AC1485" s="1176"/>
    </row>
    <row r="1486" spans="16:29">
      <c r="P1486" s="1175"/>
      <c r="Q1486" s="1175"/>
      <c r="R1486" s="1175"/>
      <c r="S1486" s="1175"/>
      <c r="T1486" s="1175"/>
      <c r="U1486" s="1175"/>
      <c r="V1486" s="1175"/>
      <c r="W1486" s="1175"/>
      <c r="X1486" s="1175"/>
      <c r="Y1486" s="1175"/>
      <c r="Z1486" s="1175"/>
      <c r="AA1486" s="1176"/>
      <c r="AB1486" s="1176"/>
      <c r="AC1486" s="1176"/>
    </row>
    <row r="1487" spans="16:29">
      <c r="P1487" s="1175"/>
      <c r="Q1487" s="1175"/>
      <c r="R1487" s="1175"/>
      <c r="S1487" s="1175"/>
      <c r="T1487" s="1175"/>
      <c r="U1487" s="1175"/>
      <c r="V1487" s="1175"/>
      <c r="W1487" s="1175"/>
      <c r="X1487" s="1175"/>
      <c r="Y1487" s="1175"/>
      <c r="Z1487" s="1175"/>
      <c r="AA1487" s="1176"/>
      <c r="AB1487" s="1176"/>
      <c r="AC1487" s="1176"/>
    </row>
    <row r="1488" spans="16:29">
      <c r="P1488" s="1175"/>
      <c r="Q1488" s="1175"/>
      <c r="R1488" s="1175"/>
      <c r="S1488" s="1175"/>
      <c r="T1488" s="1175"/>
      <c r="U1488" s="1175"/>
      <c r="V1488" s="1175"/>
      <c r="W1488" s="1175"/>
      <c r="X1488" s="1175"/>
      <c r="Y1488" s="1175"/>
      <c r="Z1488" s="1175"/>
      <c r="AA1488" s="1176"/>
      <c r="AB1488" s="1176"/>
      <c r="AC1488" s="1176"/>
    </row>
    <row r="1489" spans="16:29">
      <c r="P1489" s="1175"/>
      <c r="Q1489" s="1175"/>
      <c r="R1489" s="1175"/>
      <c r="S1489" s="1175"/>
      <c r="T1489" s="1175"/>
      <c r="U1489" s="1175"/>
      <c r="V1489" s="1175"/>
      <c r="W1489" s="1175"/>
      <c r="X1489" s="1175"/>
      <c r="Y1489" s="1175"/>
      <c r="Z1489" s="1175"/>
      <c r="AA1489" s="1176"/>
      <c r="AB1489" s="1176"/>
      <c r="AC1489" s="1176"/>
    </row>
    <row r="1490" spans="16:29">
      <c r="P1490" s="1175"/>
      <c r="Q1490" s="1175"/>
      <c r="R1490" s="1175"/>
      <c r="S1490" s="1175"/>
      <c r="T1490" s="1175"/>
      <c r="U1490" s="1175"/>
      <c r="V1490" s="1175"/>
      <c r="W1490" s="1175"/>
      <c r="X1490" s="1175"/>
      <c r="Y1490" s="1175"/>
      <c r="Z1490" s="1175"/>
      <c r="AA1490" s="1176"/>
      <c r="AB1490" s="1176"/>
      <c r="AC1490" s="1176"/>
    </row>
    <row r="1491" spans="16:29">
      <c r="P1491" s="1175"/>
      <c r="Q1491" s="1175"/>
      <c r="R1491" s="1175"/>
      <c r="S1491" s="1175"/>
      <c r="T1491" s="1175"/>
      <c r="U1491" s="1175"/>
      <c r="V1491" s="1175"/>
      <c r="W1491" s="1175"/>
      <c r="X1491" s="1175"/>
      <c r="Y1491" s="1175"/>
      <c r="Z1491" s="1175"/>
      <c r="AA1491" s="1176"/>
      <c r="AB1491" s="1176"/>
      <c r="AC1491" s="1176"/>
    </row>
    <row r="1492" spans="16:29">
      <c r="P1492" s="1175"/>
      <c r="Q1492" s="1175"/>
      <c r="R1492" s="1175"/>
      <c r="S1492" s="1175"/>
      <c r="T1492" s="1175"/>
      <c r="U1492" s="1175"/>
      <c r="V1492" s="1175"/>
      <c r="W1492" s="1175"/>
      <c r="X1492" s="1175"/>
      <c r="Y1492" s="1175"/>
      <c r="Z1492" s="1175"/>
      <c r="AA1492" s="1176"/>
      <c r="AB1492" s="1176"/>
      <c r="AC1492" s="1176"/>
    </row>
    <row r="1493" spans="16:29">
      <c r="P1493" s="1175"/>
      <c r="Q1493" s="1175"/>
      <c r="R1493" s="1175"/>
      <c r="S1493" s="1175"/>
      <c r="T1493" s="1175"/>
      <c r="U1493" s="1175"/>
      <c r="V1493" s="1175"/>
      <c r="W1493" s="1175"/>
      <c r="X1493" s="1175"/>
      <c r="Y1493" s="1175"/>
      <c r="Z1493" s="1175"/>
      <c r="AA1493" s="1176"/>
      <c r="AB1493" s="1176"/>
      <c r="AC1493" s="1176"/>
    </row>
    <row r="1494" spans="16:29">
      <c r="P1494" s="1175"/>
      <c r="Q1494" s="1175"/>
      <c r="R1494" s="1175"/>
      <c r="S1494" s="1175"/>
      <c r="T1494" s="1175"/>
      <c r="U1494" s="1175"/>
      <c r="V1494" s="1175"/>
      <c r="W1494" s="1175"/>
      <c r="X1494" s="1175"/>
      <c r="Y1494" s="1175"/>
      <c r="Z1494" s="1175"/>
      <c r="AA1494" s="1176"/>
      <c r="AB1494" s="1176"/>
      <c r="AC1494" s="1176"/>
    </row>
    <row r="1495" spans="16:29">
      <c r="P1495" s="1175"/>
      <c r="Q1495" s="1175"/>
      <c r="R1495" s="1175"/>
      <c r="S1495" s="1175"/>
      <c r="T1495" s="1175"/>
      <c r="U1495" s="1175"/>
      <c r="V1495" s="1175"/>
      <c r="W1495" s="1175"/>
      <c r="X1495" s="1175"/>
      <c r="Y1495" s="1175"/>
      <c r="Z1495" s="1175"/>
      <c r="AA1495" s="1176"/>
      <c r="AB1495" s="1176"/>
      <c r="AC1495" s="1176"/>
    </row>
    <row r="1496" spans="16:29">
      <c r="P1496" s="1175"/>
      <c r="Q1496" s="1175"/>
      <c r="R1496" s="1175"/>
      <c r="S1496" s="1175"/>
      <c r="T1496" s="1175"/>
      <c r="U1496" s="1175"/>
      <c r="V1496" s="1175"/>
      <c r="W1496" s="1175"/>
      <c r="X1496" s="1175"/>
      <c r="Y1496" s="1175"/>
      <c r="Z1496" s="1175"/>
      <c r="AA1496" s="1176"/>
      <c r="AB1496" s="1176"/>
      <c r="AC1496" s="1176"/>
    </row>
    <row r="1497" spans="16:29">
      <c r="P1497" s="1175"/>
      <c r="Q1497" s="1175"/>
      <c r="R1497" s="1175"/>
      <c r="S1497" s="1175"/>
      <c r="T1497" s="1175"/>
      <c r="U1497" s="1175"/>
      <c r="V1497" s="1175"/>
      <c r="W1497" s="1175"/>
      <c r="X1497" s="1175"/>
      <c r="Y1497" s="1175"/>
      <c r="Z1497" s="1175"/>
      <c r="AA1497" s="1176"/>
      <c r="AB1497" s="1176"/>
      <c r="AC1497" s="1176"/>
    </row>
    <row r="1498" spans="16:29">
      <c r="P1498" s="1175"/>
      <c r="Q1498" s="1175"/>
      <c r="R1498" s="1175"/>
      <c r="S1498" s="1175"/>
      <c r="T1498" s="1175"/>
      <c r="U1498" s="1175"/>
      <c r="V1498" s="1175"/>
      <c r="W1498" s="1175"/>
      <c r="X1498" s="1175"/>
      <c r="Y1498" s="1175"/>
      <c r="Z1498" s="1175"/>
      <c r="AA1498" s="1176"/>
      <c r="AB1498" s="1176"/>
      <c r="AC1498" s="1176"/>
    </row>
    <row r="1499" spans="16:29">
      <c r="P1499" s="1175"/>
      <c r="Q1499" s="1175"/>
      <c r="R1499" s="1175"/>
      <c r="S1499" s="1175"/>
      <c r="T1499" s="1175"/>
      <c r="U1499" s="1175"/>
      <c r="V1499" s="1175"/>
      <c r="W1499" s="1175"/>
      <c r="X1499" s="1175"/>
      <c r="Y1499" s="1175"/>
      <c r="Z1499" s="1175"/>
      <c r="AA1499" s="1176"/>
      <c r="AB1499" s="1176"/>
      <c r="AC1499" s="1176"/>
    </row>
    <row r="1500" spans="16:29">
      <c r="P1500" s="1175"/>
      <c r="Q1500" s="1175"/>
      <c r="R1500" s="1175"/>
      <c r="S1500" s="1175"/>
      <c r="T1500" s="1175"/>
      <c r="U1500" s="1175"/>
      <c r="V1500" s="1175"/>
      <c r="W1500" s="1175"/>
      <c r="X1500" s="1175"/>
      <c r="Y1500" s="1175"/>
      <c r="Z1500" s="1175"/>
      <c r="AA1500" s="1176"/>
      <c r="AB1500" s="1176"/>
      <c r="AC1500" s="1176"/>
    </row>
    <row r="1501" spans="16:29">
      <c r="P1501" s="1175"/>
      <c r="Q1501" s="1175"/>
      <c r="R1501" s="1175"/>
      <c r="S1501" s="1175"/>
      <c r="T1501" s="1175"/>
      <c r="U1501" s="1175"/>
      <c r="V1501" s="1175"/>
      <c r="W1501" s="1175"/>
      <c r="X1501" s="1175"/>
      <c r="Y1501" s="1175"/>
      <c r="Z1501" s="1175"/>
      <c r="AA1501" s="1176"/>
      <c r="AB1501" s="1176"/>
      <c r="AC1501" s="1176"/>
    </row>
    <row r="1502" spans="16:29">
      <c r="P1502" s="1175"/>
      <c r="Q1502" s="1175"/>
      <c r="R1502" s="1175"/>
      <c r="S1502" s="1175"/>
      <c r="T1502" s="1175"/>
      <c r="U1502" s="1175"/>
      <c r="V1502" s="1175"/>
      <c r="W1502" s="1175"/>
      <c r="X1502" s="1175"/>
      <c r="Y1502" s="1175"/>
      <c r="Z1502" s="1175"/>
      <c r="AA1502" s="1176"/>
      <c r="AB1502" s="1176"/>
      <c r="AC1502" s="1176"/>
    </row>
    <row r="1503" spans="16:29">
      <c r="P1503" s="1175"/>
      <c r="Q1503" s="1175"/>
      <c r="R1503" s="1175"/>
      <c r="S1503" s="1175"/>
      <c r="T1503" s="1175"/>
      <c r="U1503" s="1175"/>
      <c r="V1503" s="1175"/>
      <c r="W1503" s="1175"/>
      <c r="X1503" s="1175"/>
      <c r="Y1503" s="1175"/>
      <c r="Z1503" s="1175"/>
      <c r="AA1503" s="1176"/>
      <c r="AB1503" s="1176"/>
      <c r="AC1503" s="1176"/>
    </row>
    <row r="1504" spans="16:29">
      <c r="P1504" s="1175"/>
      <c r="Q1504" s="1175"/>
      <c r="R1504" s="1175"/>
      <c r="S1504" s="1175"/>
      <c r="T1504" s="1175"/>
      <c r="U1504" s="1175"/>
      <c r="V1504" s="1175"/>
      <c r="W1504" s="1175"/>
      <c r="X1504" s="1175"/>
      <c r="Y1504" s="1175"/>
      <c r="Z1504" s="1175"/>
      <c r="AA1504" s="1176"/>
      <c r="AB1504" s="1176"/>
      <c r="AC1504" s="1176"/>
    </row>
    <row r="1505" spans="16:29">
      <c r="P1505" s="1175"/>
      <c r="Q1505" s="1175"/>
      <c r="R1505" s="1175"/>
      <c r="S1505" s="1175"/>
      <c r="T1505" s="1175"/>
      <c r="U1505" s="1175"/>
      <c r="V1505" s="1175"/>
      <c r="W1505" s="1175"/>
      <c r="X1505" s="1175"/>
      <c r="Y1505" s="1175"/>
      <c r="Z1505" s="1175"/>
      <c r="AA1505" s="1176"/>
      <c r="AB1505" s="1176"/>
      <c r="AC1505" s="1176"/>
    </row>
    <row r="1506" spans="16:29">
      <c r="P1506" s="1175"/>
      <c r="Q1506" s="1175"/>
      <c r="R1506" s="1175"/>
      <c r="S1506" s="1175"/>
      <c r="T1506" s="1175"/>
      <c r="U1506" s="1175"/>
      <c r="V1506" s="1175"/>
      <c r="W1506" s="1175"/>
      <c r="X1506" s="1175"/>
      <c r="Y1506" s="1175"/>
      <c r="Z1506" s="1175"/>
      <c r="AA1506" s="1176"/>
      <c r="AB1506" s="1176"/>
      <c r="AC1506" s="1176"/>
    </row>
    <row r="1507" spans="16:29">
      <c r="P1507" s="1175"/>
      <c r="Q1507" s="1175"/>
      <c r="R1507" s="1175"/>
      <c r="S1507" s="1175"/>
      <c r="T1507" s="1175"/>
      <c r="U1507" s="1175"/>
      <c r="V1507" s="1175"/>
      <c r="W1507" s="1175"/>
      <c r="X1507" s="1175"/>
      <c r="Y1507" s="1175"/>
      <c r="Z1507" s="1175"/>
      <c r="AA1507" s="1176"/>
      <c r="AB1507" s="1176"/>
      <c r="AC1507" s="1176"/>
    </row>
    <row r="1508" spans="16:29">
      <c r="P1508" s="1175"/>
      <c r="Q1508" s="1175"/>
      <c r="R1508" s="1175"/>
      <c r="S1508" s="1175"/>
      <c r="T1508" s="1175"/>
      <c r="U1508" s="1175"/>
      <c r="V1508" s="1175"/>
      <c r="W1508" s="1175"/>
      <c r="X1508" s="1175"/>
      <c r="Y1508" s="1175"/>
      <c r="Z1508" s="1175"/>
      <c r="AA1508" s="1176"/>
      <c r="AB1508" s="1176"/>
      <c r="AC1508" s="1176"/>
    </row>
    <row r="1509" spans="16:29">
      <c r="P1509" s="1175"/>
      <c r="Q1509" s="1175"/>
      <c r="R1509" s="1175"/>
      <c r="S1509" s="1175"/>
      <c r="T1509" s="1175"/>
      <c r="U1509" s="1175"/>
      <c r="V1509" s="1175"/>
      <c r="W1509" s="1175"/>
      <c r="X1509" s="1175"/>
      <c r="Y1509" s="1175"/>
      <c r="Z1509" s="1175"/>
      <c r="AA1509" s="1176"/>
      <c r="AB1509" s="1176"/>
      <c r="AC1509" s="1176"/>
    </row>
    <row r="1510" spans="16:29">
      <c r="P1510" s="1175"/>
      <c r="Q1510" s="1175"/>
      <c r="R1510" s="1175"/>
      <c r="S1510" s="1175"/>
      <c r="T1510" s="1175"/>
      <c r="U1510" s="1175"/>
      <c r="V1510" s="1175"/>
      <c r="W1510" s="1175"/>
      <c r="X1510" s="1175"/>
      <c r="Y1510" s="1175"/>
      <c r="Z1510" s="1175"/>
      <c r="AA1510" s="1176"/>
      <c r="AB1510" s="1176"/>
      <c r="AC1510" s="1176"/>
    </row>
    <row r="1511" spans="16:29">
      <c r="P1511" s="1175"/>
      <c r="Q1511" s="1175"/>
      <c r="R1511" s="1175"/>
      <c r="S1511" s="1175"/>
      <c r="T1511" s="1175"/>
      <c r="U1511" s="1175"/>
      <c r="V1511" s="1175"/>
      <c r="W1511" s="1175"/>
      <c r="X1511" s="1175"/>
      <c r="Y1511" s="1175"/>
      <c r="Z1511" s="1175"/>
      <c r="AA1511" s="1176"/>
      <c r="AB1511" s="1176"/>
      <c r="AC1511" s="1176"/>
    </row>
    <row r="1512" spans="16:29">
      <c r="P1512" s="1175"/>
      <c r="Q1512" s="1175"/>
      <c r="R1512" s="1175"/>
      <c r="S1512" s="1175"/>
      <c r="T1512" s="1175"/>
      <c r="U1512" s="1175"/>
      <c r="V1512" s="1175"/>
      <c r="W1512" s="1175"/>
      <c r="X1512" s="1175"/>
      <c r="Y1512" s="1175"/>
      <c r="Z1512" s="1175"/>
      <c r="AA1512" s="1176"/>
      <c r="AB1512" s="1176"/>
      <c r="AC1512" s="1176"/>
    </row>
    <row r="1513" spans="16:29">
      <c r="P1513" s="1175"/>
      <c r="Q1513" s="1175"/>
      <c r="R1513" s="1175"/>
      <c r="S1513" s="1175"/>
      <c r="T1513" s="1175"/>
      <c r="U1513" s="1175"/>
      <c r="V1513" s="1175"/>
      <c r="W1513" s="1175"/>
      <c r="X1513" s="1175"/>
      <c r="Y1513" s="1175"/>
      <c r="Z1513" s="1175"/>
      <c r="AA1513" s="1176"/>
      <c r="AB1513" s="1176"/>
      <c r="AC1513" s="1176"/>
    </row>
    <row r="1514" spans="16:29">
      <c r="P1514" s="1175"/>
      <c r="Q1514" s="1175"/>
      <c r="R1514" s="1175"/>
      <c r="S1514" s="1175"/>
      <c r="T1514" s="1175"/>
      <c r="U1514" s="1175"/>
      <c r="V1514" s="1175"/>
      <c r="W1514" s="1175"/>
      <c r="X1514" s="1175"/>
      <c r="Y1514" s="1175"/>
      <c r="Z1514" s="1175"/>
      <c r="AA1514" s="1176"/>
      <c r="AB1514" s="1176"/>
      <c r="AC1514" s="1176"/>
    </row>
    <row r="1515" spans="16:29">
      <c r="P1515" s="1175"/>
      <c r="Q1515" s="1175"/>
      <c r="R1515" s="1175"/>
      <c r="S1515" s="1175"/>
      <c r="T1515" s="1175"/>
      <c r="U1515" s="1175"/>
      <c r="V1515" s="1175"/>
      <c r="W1515" s="1175"/>
      <c r="X1515" s="1175"/>
      <c r="Y1515" s="1175"/>
      <c r="Z1515" s="1175"/>
      <c r="AA1515" s="1176"/>
      <c r="AB1515" s="1176"/>
      <c r="AC1515" s="1176"/>
    </row>
    <row r="1516" spans="16:29">
      <c r="P1516" s="1175"/>
      <c r="Q1516" s="1175"/>
      <c r="R1516" s="1175"/>
      <c r="S1516" s="1175"/>
      <c r="T1516" s="1175"/>
      <c r="U1516" s="1175"/>
      <c r="V1516" s="1175"/>
      <c r="W1516" s="1175"/>
      <c r="X1516" s="1175"/>
      <c r="Y1516" s="1175"/>
      <c r="Z1516" s="1175"/>
      <c r="AA1516" s="1176"/>
      <c r="AB1516" s="1176"/>
      <c r="AC1516" s="1176"/>
    </row>
    <row r="1517" spans="16:29">
      <c r="P1517" s="1175"/>
      <c r="Q1517" s="1175"/>
      <c r="R1517" s="1175"/>
      <c r="S1517" s="1175"/>
      <c r="T1517" s="1175"/>
      <c r="U1517" s="1175"/>
      <c r="V1517" s="1175"/>
      <c r="W1517" s="1175"/>
      <c r="X1517" s="1175"/>
      <c r="Y1517" s="1175"/>
      <c r="Z1517" s="1175"/>
      <c r="AA1517" s="1176"/>
      <c r="AB1517" s="1176"/>
      <c r="AC1517" s="1176"/>
    </row>
    <row r="1518" spans="16:29">
      <c r="P1518" s="1175"/>
      <c r="Q1518" s="1175"/>
      <c r="R1518" s="1175"/>
      <c r="S1518" s="1175"/>
      <c r="T1518" s="1175"/>
      <c r="U1518" s="1175"/>
      <c r="V1518" s="1175"/>
      <c r="W1518" s="1175"/>
      <c r="X1518" s="1175"/>
      <c r="Y1518" s="1175"/>
      <c r="Z1518" s="1175"/>
      <c r="AA1518" s="1176"/>
      <c r="AB1518" s="1176"/>
      <c r="AC1518" s="1176"/>
    </row>
    <row r="1519" spans="16:29">
      <c r="P1519" s="1175"/>
      <c r="Q1519" s="1175"/>
      <c r="R1519" s="1175"/>
      <c r="S1519" s="1175"/>
      <c r="T1519" s="1175"/>
      <c r="U1519" s="1175"/>
      <c r="V1519" s="1175"/>
      <c r="W1519" s="1175"/>
      <c r="X1519" s="1175"/>
      <c r="Y1519" s="1175"/>
      <c r="Z1519" s="1175"/>
      <c r="AA1519" s="1176"/>
      <c r="AB1519" s="1176"/>
      <c r="AC1519" s="1176"/>
    </row>
    <row r="1520" spans="16:29">
      <c r="P1520" s="1175"/>
      <c r="Q1520" s="1175"/>
      <c r="R1520" s="1175"/>
      <c r="S1520" s="1175"/>
      <c r="T1520" s="1175"/>
      <c r="U1520" s="1175"/>
      <c r="V1520" s="1175"/>
      <c r="W1520" s="1175"/>
      <c r="X1520" s="1175"/>
      <c r="Y1520" s="1175"/>
      <c r="Z1520" s="1175"/>
      <c r="AA1520" s="1176"/>
      <c r="AB1520" s="1176"/>
      <c r="AC1520" s="1176"/>
    </row>
    <row r="1521" spans="16:29">
      <c r="P1521" s="1175"/>
      <c r="Q1521" s="1175"/>
      <c r="R1521" s="1175"/>
      <c r="S1521" s="1175"/>
      <c r="T1521" s="1175"/>
      <c r="U1521" s="1175"/>
      <c r="V1521" s="1175"/>
      <c r="W1521" s="1175"/>
      <c r="X1521" s="1175"/>
      <c r="Y1521" s="1175"/>
      <c r="Z1521" s="1175"/>
      <c r="AA1521" s="1176"/>
      <c r="AB1521" s="1176"/>
      <c r="AC1521" s="1176"/>
    </row>
    <row r="1522" spans="16:29">
      <c r="P1522" s="1175"/>
      <c r="Q1522" s="1175"/>
      <c r="R1522" s="1175"/>
      <c r="S1522" s="1175"/>
      <c r="T1522" s="1175"/>
      <c r="U1522" s="1175"/>
      <c r="V1522" s="1175"/>
      <c r="W1522" s="1175"/>
      <c r="X1522" s="1175"/>
      <c r="Y1522" s="1175"/>
      <c r="Z1522" s="1175"/>
      <c r="AA1522" s="1176"/>
      <c r="AB1522" s="1176"/>
      <c r="AC1522" s="1176"/>
    </row>
    <row r="1523" spans="16:29">
      <c r="P1523" s="1175"/>
      <c r="Q1523" s="1175"/>
      <c r="R1523" s="1175"/>
      <c r="S1523" s="1175"/>
      <c r="T1523" s="1175"/>
      <c r="U1523" s="1175"/>
      <c r="V1523" s="1175"/>
      <c r="W1523" s="1175"/>
      <c r="X1523" s="1175"/>
      <c r="Y1523" s="1175"/>
      <c r="Z1523" s="1175"/>
      <c r="AA1523" s="1176"/>
      <c r="AB1523" s="1176"/>
      <c r="AC1523" s="1176"/>
    </row>
    <row r="1524" spans="16:29">
      <c r="P1524" s="1175"/>
      <c r="Q1524" s="1175"/>
      <c r="R1524" s="1175"/>
      <c r="S1524" s="1175"/>
      <c r="T1524" s="1175"/>
      <c r="U1524" s="1175"/>
      <c r="V1524" s="1175"/>
      <c r="W1524" s="1175"/>
      <c r="X1524" s="1175"/>
      <c r="Y1524" s="1175"/>
      <c r="Z1524" s="1175"/>
      <c r="AA1524" s="1176"/>
      <c r="AB1524" s="1176"/>
      <c r="AC1524" s="1176"/>
    </row>
    <row r="1525" spans="16:29">
      <c r="P1525" s="1175"/>
      <c r="Q1525" s="1175"/>
      <c r="R1525" s="1175"/>
      <c r="S1525" s="1175"/>
      <c r="T1525" s="1175"/>
      <c r="U1525" s="1175"/>
      <c r="V1525" s="1175"/>
      <c r="W1525" s="1175"/>
      <c r="X1525" s="1175"/>
      <c r="Y1525" s="1175"/>
      <c r="Z1525" s="1175"/>
      <c r="AA1525" s="1176"/>
      <c r="AB1525" s="1176"/>
      <c r="AC1525" s="1176"/>
    </row>
    <row r="1526" spans="16:29">
      <c r="P1526" s="1175"/>
      <c r="Q1526" s="1175"/>
      <c r="R1526" s="1175"/>
      <c r="S1526" s="1175"/>
      <c r="T1526" s="1175"/>
      <c r="U1526" s="1175"/>
      <c r="V1526" s="1175"/>
      <c r="W1526" s="1175"/>
      <c r="X1526" s="1175"/>
      <c r="Y1526" s="1175"/>
      <c r="Z1526" s="1175"/>
      <c r="AA1526" s="1176"/>
      <c r="AB1526" s="1176"/>
      <c r="AC1526" s="1176"/>
    </row>
    <row r="1527" spans="16:29">
      <c r="P1527" s="1175"/>
      <c r="Q1527" s="1175"/>
      <c r="R1527" s="1175"/>
      <c r="S1527" s="1175"/>
      <c r="T1527" s="1175"/>
      <c r="U1527" s="1175"/>
      <c r="V1527" s="1175"/>
      <c r="W1527" s="1175"/>
      <c r="X1527" s="1175"/>
      <c r="Y1527" s="1175"/>
      <c r="Z1527" s="1175"/>
      <c r="AA1527" s="1176"/>
      <c r="AB1527" s="1176"/>
      <c r="AC1527" s="1176"/>
    </row>
    <row r="1528" spans="16:29">
      <c r="P1528" s="1175"/>
      <c r="Q1528" s="1175"/>
      <c r="R1528" s="1175"/>
      <c r="S1528" s="1175"/>
      <c r="T1528" s="1175"/>
      <c r="U1528" s="1175"/>
      <c r="V1528" s="1175"/>
      <c r="W1528" s="1175"/>
      <c r="X1528" s="1175"/>
      <c r="Y1528" s="1175"/>
      <c r="Z1528" s="1175"/>
      <c r="AA1528" s="1176"/>
      <c r="AB1528" s="1176"/>
      <c r="AC1528" s="1176"/>
    </row>
    <row r="1529" spans="16:29">
      <c r="P1529" s="1175"/>
      <c r="Q1529" s="1175"/>
      <c r="R1529" s="1175"/>
      <c r="S1529" s="1175"/>
      <c r="T1529" s="1175"/>
      <c r="U1529" s="1175"/>
      <c r="V1529" s="1175"/>
      <c r="W1529" s="1175"/>
      <c r="X1529" s="1175"/>
      <c r="Y1529" s="1175"/>
      <c r="Z1529" s="1175"/>
      <c r="AA1529" s="1176"/>
      <c r="AB1529" s="1176"/>
      <c r="AC1529" s="1176"/>
    </row>
    <row r="1530" spans="16:29">
      <c r="P1530" s="1175"/>
      <c r="Q1530" s="1175"/>
      <c r="R1530" s="1175"/>
      <c r="S1530" s="1175"/>
      <c r="T1530" s="1175"/>
      <c r="U1530" s="1175"/>
      <c r="V1530" s="1175"/>
      <c r="W1530" s="1175"/>
      <c r="X1530" s="1175"/>
      <c r="Y1530" s="1175"/>
      <c r="Z1530" s="1175"/>
      <c r="AA1530" s="1176"/>
      <c r="AB1530" s="1176"/>
      <c r="AC1530" s="1176"/>
    </row>
    <row r="1531" spans="16:29">
      <c r="P1531" s="1175"/>
      <c r="Q1531" s="1175"/>
      <c r="R1531" s="1175"/>
      <c r="S1531" s="1175"/>
      <c r="T1531" s="1175"/>
      <c r="U1531" s="1175"/>
      <c r="V1531" s="1175"/>
      <c r="W1531" s="1175"/>
      <c r="X1531" s="1175"/>
      <c r="Y1531" s="1175"/>
      <c r="Z1531" s="1175"/>
      <c r="AA1531" s="1176"/>
      <c r="AB1531" s="1176"/>
      <c r="AC1531" s="1176"/>
    </row>
    <row r="1532" spans="16:29">
      <c r="P1532" s="1175"/>
      <c r="Q1532" s="1175"/>
      <c r="R1532" s="1175"/>
      <c r="S1532" s="1175"/>
      <c r="T1532" s="1175"/>
      <c r="U1532" s="1175"/>
      <c r="V1532" s="1175"/>
      <c r="W1532" s="1175"/>
      <c r="X1532" s="1175"/>
      <c r="Y1532" s="1175"/>
      <c r="Z1532" s="1175"/>
      <c r="AA1532" s="1176"/>
      <c r="AB1532" s="1176"/>
      <c r="AC1532" s="1176"/>
    </row>
    <row r="1533" spans="16:29">
      <c r="P1533" s="1175"/>
      <c r="Q1533" s="1175"/>
      <c r="R1533" s="1175"/>
      <c r="S1533" s="1175"/>
      <c r="T1533" s="1175"/>
      <c r="U1533" s="1175"/>
      <c r="V1533" s="1175"/>
      <c r="W1533" s="1175"/>
      <c r="X1533" s="1175"/>
      <c r="Y1533" s="1175"/>
      <c r="Z1533" s="1175"/>
      <c r="AA1533" s="1176"/>
      <c r="AB1533" s="1176"/>
      <c r="AC1533" s="1176"/>
    </row>
    <row r="1534" spans="16:29">
      <c r="P1534" s="1175"/>
      <c r="Q1534" s="1175"/>
      <c r="R1534" s="1175"/>
      <c r="S1534" s="1175"/>
      <c r="T1534" s="1175"/>
      <c r="U1534" s="1175"/>
      <c r="V1534" s="1175"/>
      <c r="W1534" s="1175"/>
      <c r="X1534" s="1175"/>
      <c r="Y1534" s="1175"/>
      <c r="Z1534" s="1175"/>
      <c r="AA1534" s="1176"/>
      <c r="AB1534" s="1176"/>
      <c r="AC1534" s="1176"/>
    </row>
    <row r="1535" spans="16:29">
      <c r="P1535" s="1175"/>
      <c r="Q1535" s="1175"/>
      <c r="R1535" s="1175"/>
      <c r="S1535" s="1175"/>
      <c r="T1535" s="1175"/>
      <c r="U1535" s="1175"/>
      <c r="V1535" s="1175"/>
      <c r="W1535" s="1175"/>
      <c r="X1535" s="1175"/>
      <c r="Y1535" s="1175"/>
      <c r="Z1535" s="1175"/>
      <c r="AA1535" s="1176"/>
      <c r="AB1535" s="1176"/>
      <c r="AC1535" s="1176"/>
    </row>
    <row r="1536" spans="16:29">
      <c r="P1536" s="1175"/>
      <c r="Q1536" s="1175"/>
      <c r="R1536" s="1175"/>
      <c r="S1536" s="1175"/>
      <c r="T1536" s="1175"/>
      <c r="U1536" s="1175"/>
      <c r="V1536" s="1175"/>
      <c r="W1536" s="1175"/>
      <c r="X1536" s="1175"/>
      <c r="Y1536" s="1175"/>
      <c r="Z1536" s="1175"/>
      <c r="AA1536" s="1176"/>
      <c r="AB1536" s="1176"/>
      <c r="AC1536" s="1176"/>
    </row>
    <row r="1537" spans="16:29">
      <c r="P1537" s="1175"/>
      <c r="Q1537" s="1175"/>
      <c r="R1537" s="1175"/>
      <c r="S1537" s="1175"/>
      <c r="T1537" s="1175"/>
      <c r="U1537" s="1175"/>
      <c r="V1537" s="1175"/>
      <c r="W1537" s="1175"/>
      <c r="X1537" s="1175"/>
      <c r="Y1537" s="1175"/>
      <c r="Z1537" s="1175"/>
      <c r="AA1537" s="1176"/>
      <c r="AB1537" s="1176"/>
      <c r="AC1537" s="1176"/>
    </row>
    <row r="1538" spans="16:29">
      <c r="P1538" s="1175"/>
      <c r="Q1538" s="1175"/>
      <c r="R1538" s="1175"/>
      <c r="S1538" s="1175"/>
      <c r="T1538" s="1175"/>
      <c r="U1538" s="1175"/>
      <c r="V1538" s="1175"/>
      <c r="W1538" s="1175"/>
      <c r="X1538" s="1175"/>
      <c r="Y1538" s="1175"/>
      <c r="Z1538" s="1175"/>
      <c r="AA1538" s="1176"/>
      <c r="AB1538" s="1176"/>
      <c r="AC1538" s="1176"/>
    </row>
    <row r="1539" spans="16:29">
      <c r="P1539" s="1175"/>
      <c r="Q1539" s="1175"/>
      <c r="R1539" s="1175"/>
      <c r="S1539" s="1175"/>
      <c r="T1539" s="1175"/>
      <c r="U1539" s="1175"/>
      <c r="V1539" s="1175"/>
      <c r="W1539" s="1175"/>
      <c r="X1539" s="1175"/>
      <c r="Y1539" s="1175"/>
      <c r="Z1539" s="1175"/>
      <c r="AA1539" s="1176"/>
      <c r="AB1539" s="1176"/>
      <c r="AC1539" s="1176"/>
    </row>
    <row r="1540" spans="16:29">
      <c r="P1540" s="1175"/>
      <c r="Q1540" s="1175"/>
      <c r="R1540" s="1175"/>
      <c r="S1540" s="1175"/>
      <c r="T1540" s="1175"/>
      <c r="U1540" s="1175"/>
      <c r="V1540" s="1175"/>
      <c r="W1540" s="1175"/>
      <c r="X1540" s="1175"/>
      <c r="Y1540" s="1175"/>
      <c r="Z1540" s="1175"/>
      <c r="AA1540" s="1176"/>
      <c r="AB1540" s="1176"/>
      <c r="AC1540" s="1176"/>
    </row>
    <row r="1541" spans="16:29">
      <c r="P1541" s="1175"/>
      <c r="Q1541" s="1175"/>
      <c r="R1541" s="1175"/>
      <c r="S1541" s="1175"/>
      <c r="T1541" s="1175"/>
      <c r="U1541" s="1175"/>
      <c r="V1541" s="1175"/>
      <c r="W1541" s="1175"/>
      <c r="X1541" s="1175"/>
      <c r="Y1541" s="1175"/>
      <c r="Z1541" s="1175"/>
      <c r="AA1541" s="1176"/>
      <c r="AB1541" s="1176"/>
      <c r="AC1541" s="1176"/>
    </row>
    <row r="1542" spans="16:29">
      <c r="P1542" s="1175"/>
      <c r="Q1542" s="1175"/>
      <c r="R1542" s="1175"/>
      <c r="S1542" s="1175"/>
      <c r="T1542" s="1175"/>
      <c r="U1542" s="1175"/>
      <c r="V1542" s="1175"/>
      <c r="W1542" s="1175"/>
      <c r="X1542" s="1175"/>
      <c r="Y1542" s="1175"/>
      <c r="Z1542" s="1175"/>
      <c r="AA1542" s="1176"/>
      <c r="AB1542" s="1176"/>
      <c r="AC1542" s="117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S33"/>
  <sheetViews>
    <sheetView showRowColHeaders="0" showZeros="0" zoomScaleNormal="100" workbookViewId="0">
      <selection activeCell="F22" sqref="F22:H22"/>
    </sheetView>
  </sheetViews>
  <sheetFormatPr baseColWidth="10" defaultColWidth="0" defaultRowHeight="15" zeroHeight="1"/>
  <cols>
    <col min="1" max="1" width="11.42578125" customWidth="1"/>
    <col min="2" max="2" width="14.85546875" customWidth="1"/>
    <col min="3" max="5" width="11.42578125" customWidth="1"/>
    <col min="6" max="7" width="7.42578125" style="2" customWidth="1"/>
    <col min="8" max="8" width="7.5703125" style="2" customWidth="1"/>
    <col min="9" max="15" width="11.42578125" style="2" customWidth="1"/>
    <col min="16" max="16" width="13.7109375" style="2" customWidth="1"/>
    <col min="17" max="18" width="11.42578125" hidden="1" customWidth="1"/>
    <col min="19" max="16384" width="11.42578125" hidden="1"/>
  </cols>
  <sheetData>
    <row r="1" spans="1:19" s="1214" customFormat="1">
      <c r="A1" s="1182"/>
      <c r="B1" s="1182"/>
      <c r="C1" s="1182"/>
      <c r="D1" s="1182"/>
      <c r="E1" s="1182"/>
      <c r="F1" s="1182"/>
      <c r="G1" s="1182"/>
      <c r="H1" s="1182"/>
      <c r="I1" s="1182"/>
      <c r="J1" s="1182"/>
      <c r="K1" s="1182"/>
      <c r="L1" s="1182"/>
      <c r="M1" s="1182"/>
      <c r="N1" s="1182"/>
      <c r="O1" s="1182"/>
      <c r="P1" s="1213">
        <v>2</v>
      </c>
      <c r="S1" s="1214" t="s">
        <v>290</v>
      </c>
    </row>
    <row r="2" spans="1:19" s="1214" customFormat="1" ht="23.25" customHeight="1">
      <c r="A2" s="1182"/>
      <c r="B2" s="1356" t="s">
        <v>925</v>
      </c>
      <c r="C2" s="1182"/>
      <c r="D2" s="1182"/>
      <c r="E2" s="1182"/>
      <c r="F2" s="1182"/>
      <c r="G2" s="1182"/>
      <c r="H2" s="1182"/>
      <c r="I2" s="1182"/>
      <c r="J2" s="1182"/>
      <c r="K2" s="1182"/>
      <c r="L2" s="1182"/>
      <c r="M2" s="1182"/>
      <c r="N2" s="1182"/>
      <c r="O2" s="1182"/>
      <c r="P2" s="1182"/>
      <c r="S2" s="1215" t="s">
        <v>2085</v>
      </c>
    </row>
    <row r="3" spans="1:19" s="1214" customFormat="1" ht="15.75" thickBot="1">
      <c r="A3" s="1182"/>
      <c r="B3" s="1182"/>
      <c r="C3" s="1182"/>
      <c r="D3" s="1182"/>
      <c r="E3" s="1182"/>
      <c r="F3" s="1183" t="s">
        <v>2097</v>
      </c>
      <c r="G3" s="1182"/>
      <c r="H3" s="1182"/>
      <c r="I3" s="1182"/>
      <c r="J3" s="1183" t="s">
        <v>2098</v>
      </c>
      <c r="K3" s="1182"/>
      <c r="L3" s="1182"/>
      <c r="M3" s="1182"/>
      <c r="N3" s="1182"/>
      <c r="O3" s="1182"/>
      <c r="P3" s="1182"/>
      <c r="S3" s="1216" t="s">
        <v>2086</v>
      </c>
    </row>
    <row r="4" spans="1:19" ht="16.5" thickBot="1">
      <c r="A4" s="1182"/>
      <c r="B4" s="1372" t="str">
        <f>IF(P1=1,"N° FINESS / Nom de l'organisme gestionnaire",IF(P1=2,"N° FINESS / Nom de l'établissement ou service",))</f>
        <v>N° FINESS / Nom de l'établissement ou service</v>
      </c>
      <c r="C4" s="1372"/>
      <c r="D4" s="1372"/>
      <c r="E4" s="1393"/>
      <c r="F4" s="1394"/>
      <c r="G4" s="1395"/>
      <c r="H4" s="1396"/>
      <c r="I4" s="1182"/>
      <c r="J4" s="1373" t="e">
        <f>IF(P1=2,INDEX('BD Finess'!G4:G915,MATCH(F4,'BD Finess'!F4:F915,0)),INDEX('BD Finess'!C4:C915,MATCH(F4,'BD Finess'!B4:C915,0)))</f>
        <v>#N/A</v>
      </c>
      <c r="K4" s="1374"/>
      <c r="L4" s="1374"/>
      <c r="M4" s="1374"/>
      <c r="N4" s="1374"/>
      <c r="O4" s="1375"/>
      <c r="P4" s="1183"/>
      <c r="S4" s="1180" t="s">
        <v>2087</v>
      </c>
    </row>
    <row r="5" spans="1:19" ht="15.75" thickBot="1">
      <c r="A5" s="1182"/>
      <c r="B5" s="1183"/>
      <c r="C5" s="1183"/>
      <c r="D5" s="1183"/>
      <c r="E5" s="1183"/>
      <c r="F5" s="1183"/>
      <c r="G5" s="1183"/>
      <c r="H5" s="1183"/>
      <c r="I5" s="1183"/>
      <c r="J5" s="1183"/>
      <c r="K5" s="1183"/>
      <c r="L5" s="1183"/>
      <c r="M5" s="1183"/>
      <c r="N5" s="1183"/>
      <c r="O5" s="1183"/>
      <c r="P5" s="1183"/>
      <c r="S5" s="1080" t="s">
        <v>871</v>
      </c>
    </row>
    <row r="6" spans="1:19" ht="15" customHeight="1">
      <c r="A6" s="1182"/>
      <c r="B6" s="1184" t="s">
        <v>856</v>
      </c>
      <c r="C6" s="1183"/>
      <c r="D6" s="1183"/>
      <c r="E6" s="1183"/>
      <c r="F6" s="1398" t="e">
        <f>IF(P1=2,INDEX('BD Finess'!H4:H915,MATCH(F4,'BD Finess'!F4:F915,0)),INDEX('BD Finess'!D4:D915,MATCH(F4,'BD Finess'!B4:B915,0)))</f>
        <v>#N/A</v>
      </c>
      <c r="G6" s="1399"/>
      <c r="H6" s="1399"/>
      <c r="I6" s="1399"/>
      <c r="J6" s="1399"/>
      <c r="K6" s="1399"/>
      <c r="L6" s="1399"/>
      <c r="M6" s="1399"/>
      <c r="N6" s="1399"/>
      <c r="O6" s="1400"/>
      <c r="P6" s="1183"/>
      <c r="S6" s="1080" t="s">
        <v>872</v>
      </c>
    </row>
    <row r="7" spans="1:19" ht="15" customHeight="1" thickBot="1">
      <c r="A7" s="1182"/>
      <c r="B7" s="1183"/>
      <c r="C7" s="1183"/>
      <c r="D7" s="1183"/>
      <c r="E7" s="1183"/>
      <c r="F7" s="1401"/>
      <c r="G7" s="1402"/>
      <c r="H7" s="1402"/>
      <c r="I7" s="1402"/>
      <c r="J7" s="1402"/>
      <c r="K7" s="1402"/>
      <c r="L7" s="1402"/>
      <c r="M7" s="1402"/>
      <c r="N7" s="1402"/>
      <c r="O7" s="1403"/>
      <c r="P7" s="1183"/>
      <c r="S7" s="1080" t="s">
        <v>873</v>
      </c>
    </row>
    <row r="8" spans="1:19">
      <c r="A8" s="1182"/>
      <c r="B8" s="1183"/>
      <c r="C8" s="1183"/>
      <c r="D8" s="1183"/>
      <c r="E8" s="1183"/>
      <c r="F8" s="1183"/>
      <c r="G8" s="1183"/>
      <c r="H8" s="1183"/>
      <c r="I8" s="1183"/>
      <c r="J8" s="1183"/>
      <c r="K8" s="1183"/>
      <c r="L8" s="1183"/>
      <c r="M8" s="1183"/>
      <c r="N8" s="1183"/>
      <c r="O8" s="1183"/>
      <c r="P8" s="1183"/>
      <c r="S8" s="1080" t="s">
        <v>874</v>
      </c>
    </row>
    <row r="9" spans="1:19" ht="15.75" thickBot="1">
      <c r="A9" s="1182"/>
      <c r="B9" s="1397" t="s">
        <v>862</v>
      </c>
      <c r="C9" s="1397"/>
      <c r="D9" s="1397"/>
      <c r="E9" s="1397"/>
      <c r="F9" s="1183"/>
      <c r="G9" s="1183"/>
      <c r="H9" s="1183"/>
      <c r="I9" s="1183"/>
      <c r="J9" s="1183"/>
      <c r="K9" s="1183"/>
      <c r="L9" s="1183"/>
      <c r="M9" s="1183"/>
      <c r="N9" s="1183"/>
      <c r="O9" s="1183"/>
      <c r="P9" s="1183"/>
      <c r="S9" s="1080" t="s">
        <v>2088</v>
      </c>
    </row>
    <row r="10" spans="1:19" ht="16.5" thickBot="1">
      <c r="A10" s="1182"/>
      <c r="B10" s="1397"/>
      <c r="C10" s="1397"/>
      <c r="D10" s="1397"/>
      <c r="E10" s="1397"/>
      <c r="F10" s="1382"/>
      <c r="G10" s="1383"/>
      <c r="H10" s="1383"/>
      <c r="I10" s="1384"/>
      <c r="J10" s="1183"/>
      <c r="K10" s="1183"/>
      <c r="L10" s="1183"/>
      <c r="M10" s="1183"/>
      <c r="N10" s="1183"/>
      <c r="O10" s="1183"/>
      <c r="P10" s="1183"/>
      <c r="S10" s="1080" t="s">
        <v>2089</v>
      </c>
    </row>
    <row r="11" spans="1:19" ht="15.75" thickBot="1">
      <c r="A11" s="1182"/>
      <c r="B11" s="1183"/>
      <c r="C11" s="1183"/>
      <c r="D11" s="1183"/>
      <c r="E11" s="1183"/>
      <c r="F11" s="1183"/>
      <c r="G11" s="1183"/>
      <c r="H11" s="1183"/>
      <c r="I11" s="1183"/>
      <c r="J11" s="1183"/>
      <c r="K11" s="1183"/>
      <c r="L11" s="1183"/>
      <c r="M11" s="1183"/>
      <c r="N11" s="1183"/>
      <c r="O11" s="1183"/>
      <c r="P11" s="1186" t="s">
        <v>896</v>
      </c>
      <c r="S11" s="1080" t="s">
        <v>875</v>
      </c>
    </row>
    <row r="12" spans="1:19" ht="16.5" thickBot="1">
      <c r="A12" s="1182"/>
      <c r="B12" s="1372" t="s">
        <v>863</v>
      </c>
      <c r="C12" s="1372"/>
      <c r="D12" s="1372"/>
      <c r="E12" s="1183"/>
      <c r="F12" s="1376"/>
      <c r="G12" s="1377"/>
      <c r="H12" s="1377"/>
      <c r="I12" s="1378"/>
      <c r="J12" s="1391" t="s">
        <v>864</v>
      </c>
      <c r="K12" s="1392"/>
      <c r="L12" s="1382" t="s">
        <v>290</v>
      </c>
      <c r="M12" s="1383"/>
      <c r="N12" s="1383"/>
      <c r="O12" s="1384"/>
      <c r="P12" s="1187" t="s">
        <v>857</v>
      </c>
      <c r="S12" s="1080" t="s">
        <v>876</v>
      </c>
    </row>
    <row r="13" spans="1:19" ht="15.75" thickBot="1">
      <c r="A13" s="1182"/>
      <c r="B13" s="1183"/>
      <c r="C13" s="1183"/>
      <c r="D13" s="1183"/>
      <c r="E13" s="1183"/>
      <c r="F13" s="1183"/>
      <c r="G13" s="1183"/>
      <c r="H13" s="1183"/>
      <c r="I13" s="1183"/>
      <c r="J13" s="1183"/>
      <c r="K13" s="1183"/>
      <c r="L13" s="1183"/>
      <c r="M13" s="1183"/>
      <c r="N13" s="1183"/>
      <c r="O13" s="1183"/>
      <c r="P13" s="1183"/>
      <c r="S13" s="1080" t="s">
        <v>877</v>
      </c>
    </row>
    <row r="14" spans="1:19" ht="16.5" thickBot="1">
      <c r="A14" s="1182"/>
      <c r="B14" s="1372" t="str">
        <f>IF(P1=1,"","Organisme gestionnaire")</f>
        <v>Organisme gestionnaire</v>
      </c>
      <c r="C14" s="1372"/>
      <c r="D14" s="1183"/>
      <c r="E14" s="1183"/>
      <c r="F14" s="1373" t="e">
        <f>IF(P1=2,INDEX('BD Finess'!C4:C915,MATCH(F4,'BD Finess'!F4:F915,0)),"-")</f>
        <v>#N/A</v>
      </c>
      <c r="G14" s="1374"/>
      <c r="H14" s="1374"/>
      <c r="I14" s="1374"/>
      <c r="J14" s="1374"/>
      <c r="K14" s="1374"/>
      <c r="L14" s="1374"/>
      <c r="M14" s="1374"/>
      <c r="N14" s="1374"/>
      <c r="O14" s="1375"/>
      <c r="P14" s="1183"/>
      <c r="S14" s="1080" t="s">
        <v>878</v>
      </c>
    </row>
    <row r="15" spans="1:19" ht="15.75" thickBot="1">
      <c r="A15" s="1182"/>
      <c r="B15" s="1183"/>
      <c r="C15" s="1183"/>
      <c r="D15" s="1183"/>
      <c r="E15" s="1183"/>
      <c r="F15" s="1183"/>
      <c r="G15" s="1183"/>
      <c r="H15" s="1183"/>
      <c r="I15" s="1183"/>
      <c r="J15" s="1183"/>
      <c r="K15" s="1183"/>
      <c r="L15" s="1183"/>
      <c r="M15" s="1183"/>
      <c r="N15" s="1183"/>
      <c r="O15" s="1183"/>
      <c r="P15" s="1183"/>
      <c r="S15" s="1181" t="s">
        <v>2090</v>
      </c>
    </row>
    <row r="16" spans="1:19" ht="16.5" thickBot="1">
      <c r="A16" s="1182"/>
      <c r="B16" s="1372" t="s">
        <v>865</v>
      </c>
      <c r="C16" s="1372"/>
      <c r="D16" s="1183"/>
      <c r="E16" s="1183"/>
      <c r="F16" s="1379"/>
      <c r="G16" s="1380"/>
      <c r="H16" s="1381"/>
      <c r="I16" s="1188"/>
      <c r="J16" s="1379"/>
      <c r="K16" s="1381"/>
      <c r="L16" s="1189"/>
      <c r="M16" s="1385"/>
      <c r="N16" s="1386"/>
      <c r="O16" s="1387"/>
      <c r="P16" s="1183"/>
      <c r="S16" s="1080" t="s">
        <v>879</v>
      </c>
    </row>
    <row r="17" spans="1:19" ht="15.75" thickBot="1">
      <c r="A17" s="1182"/>
      <c r="B17" s="1183"/>
      <c r="C17" s="1183"/>
      <c r="D17" s="1183"/>
      <c r="E17" s="1183"/>
      <c r="F17" s="1183"/>
      <c r="G17" s="1183"/>
      <c r="H17" s="1183"/>
      <c r="I17" s="1183"/>
      <c r="J17" s="1183"/>
      <c r="K17" s="1183"/>
      <c r="L17" s="1183"/>
      <c r="M17" s="1183"/>
      <c r="N17" s="1183"/>
      <c r="O17" s="1186"/>
      <c r="P17" s="1186" t="s">
        <v>896</v>
      </c>
      <c r="S17" s="1080" t="s">
        <v>880</v>
      </c>
    </row>
    <row r="18" spans="1:19" ht="16.5" thickBot="1">
      <c r="A18" s="1182"/>
      <c r="B18" s="1185" t="s">
        <v>866</v>
      </c>
      <c r="C18" s="1185"/>
      <c r="D18" s="1185"/>
      <c r="E18" s="1185"/>
      <c r="F18" s="1382" t="s">
        <v>290</v>
      </c>
      <c r="G18" s="1383"/>
      <c r="H18" s="1383"/>
      <c r="I18" s="1383"/>
      <c r="J18" s="1383"/>
      <c r="K18" s="1383"/>
      <c r="L18" s="1383"/>
      <c r="M18" s="1383"/>
      <c r="N18" s="1383"/>
      <c r="O18" s="1384"/>
      <c r="P18" s="1187" t="s">
        <v>857</v>
      </c>
      <c r="S18" s="1080" t="s">
        <v>881</v>
      </c>
    </row>
    <row r="19" spans="1:19" ht="15.75" thickBot="1">
      <c r="A19" s="1182"/>
      <c r="B19" s="1183"/>
      <c r="C19" s="1183"/>
      <c r="D19" s="1183"/>
      <c r="E19" s="1183"/>
      <c r="F19" s="1183"/>
      <c r="G19" s="1183"/>
      <c r="H19" s="1183"/>
      <c r="I19" s="1183"/>
      <c r="J19" s="1183"/>
      <c r="K19" s="1183"/>
      <c r="L19" s="1183"/>
      <c r="M19" s="1183"/>
      <c r="N19" s="1183"/>
      <c r="O19" s="1183"/>
      <c r="P19" s="1183"/>
      <c r="S19" s="1080" t="s">
        <v>882</v>
      </c>
    </row>
    <row r="20" spans="1:19" ht="16.5" thickBot="1">
      <c r="A20" s="1182"/>
      <c r="B20" s="1372" t="s">
        <v>868</v>
      </c>
      <c r="C20" s="1372"/>
      <c r="D20" s="1372"/>
      <c r="E20" s="1183"/>
      <c r="F20" s="1388"/>
      <c r="G20" s="1389"/>
      <c r="H20" s="1390"/>
      <c r="I20" s="1183"/>
      <c r="J20" s="1183"/>
      <c r="K20" s="1183"/>
      <c r="L20" s="1183"/>
      <c r="M20" s="1183"/>
      <c r="N20" s="1183"/>
      <c r="O20" s="1183"/>
      <c r="P20" s="1183"/>
      <c r="S20" s="1080" t="s">
        <v>883</v>
      </c>
    </row>
    <row r="21" spans="1:19" ht="15.75" thickBot="1">
      <c r="A21" s="1182"/>
      <c r="B21" s="1183"/>
      <c r="C21" s="1183"/>
      <c r="D21" s="1183"/>
      <c r="E21" s="1183"/>
      <c r="F21" s="1183"/>
      <c r="G21" s="1183"/>
      <c r="H21" s="1183"/>
      <c r="I21" s="1183"/>
      <c r="J21" s="1183"/>
      <c r="K21" s="1183"/>
      <c r="L21" s="1183"/>
      <c r="M21" s="1183"/>
      <c r="N21" s="1183"/>
      <c r="O21" s="1183"/>
      <c r="P21" s="1183"/>
      <c r="S21" s="1080" t="s">
        <v>884</v>
      </c>
    </row>
    <row r="22" spans="1:19" ht="16.5" thickBot="1">
      <c r="A22" s="1182"/>
      <c r="B22" s="1372" t="s">
        <v>869</v>
      </c>
      <c r="C22" s="1372"/>
      <c r="D22" s="1372"/>
      <c r="E22" s="1372"/>
      <c r="F22" s="1373"/>
      <c r="G22" s="1374"/>
      <c r="H22" s="1375"/>
      <c r="I22" s="1187"/>
      <c r="J22" s="1183"/>
      <c r="K22" s="1183"/>
      <c r="L22" s="1183"/>
      <c r="M22" s="1183"/>
      <c r="N22" s="1183"/>
      <c r="O22" s="1183"/>
      <c r="P22" s="1183"/>
      <c r="S22" s="1080" t="s">
        <v>885</v>
      </c>
    </row>
    <row r="23" spans="1:19" ht="15.75" thickBot="1">
      <c r="A23" s="1182"/>
      <c r="B23" s="1183"/>
      <c r="C23" s="1183"/>
      <c r="D23" s="1183"/>
      <c r="E23" s="1183"/>
      <c r="F23" s="1183"/>
      <c r="G23" s="1183"/>
      <c r="H23" s="1183"/>
      <c r="I23" s="1183"/>
      <c r="J23" s="1183"/>
      <c r="K23" s="1183"/>
      <c r="L23" s="1183"/>
      <c r="M23" s="1183"/>
      <c r="N23" s="1183"/>
      <c r="O23" s="1183"/>
      <c r="P23" s="1183"/>
      <c r="S23" s="1080" t="s">
        <v>886</v>
      </c>
    </row>
    <row r="24" spans="1:19" ht="16.5" thickBot="1">
      <c r="A24" s="1182"/>
      <c r="B24" s="1185" t="s">
        <v>870</v>
      </c>
      <c r="C24" s="1183"/>
      <c r="D24" s="1183"/>
      <c r="E24" s="1183"/>
      <c r="F24" s="1376"/>
      <c r="G24" s="1377"/>
      <c r="H24" s="1378"/>
      <c r="I24" s="1183"/>
      <c r="J24" s="1183"/>
      <c r="K24" s="1183"/>
      <c r="L24" s="1183"/>
      <c r="M24" s="1183"/>
      <c r="N24" s="1183"/>
      <c r="O24" s="1183"/>
      <c r="P24" s="1183"/>
      <c r="S24" s="1080" t="s">
        <v>887</v>
      </c>
    </row>
    <row r="25" spans="1:19">
      <c r="A25" s="1182"/>
      <c r="B25" s="1183"/>
      <c r="C25" s="1183"/>
      <c r="D25" s="1183"/>
      <c r="E25" s="1183"/>
      <c r="F25" s="1183"/>
      <c r="G25" s="1183"/>
      <c r="H25" s="1183"/>
      <c r="I25" s="1183"/>
      <c r="J25" s="1183"/>
      <c r="K25" s="1183"/>
      <c r="L25" s="1183"/>
      <c r="M25" s="1183"/>
      <c r="N25" s="1183"/>
      <c r="O25" s="1183"/>
      <c r="P25" s="1183"/>
      <c r="S25" s="1080" t="s">
        <v>888</v>
      </c>
    </row>
    <row r="26" spans="1:19">
      <c r="A26" s="1182"/>
      <c r="B26" s="1183"/>
      <c r="C26" s="1183"/>
      <c r="D26" s="1183"/>
      <c r="E26" s="1183"/>
      <c r="F26" s="1183"/>
      <c r="G26" s="1183"/>
      <c r="H26" s="1183"/>
      <c r="I26" s="1183"/>
      <c r="J26" s="1183"/>
      <c r="K26" s="1183"/>
      <c r="L26" s="1183"/>
      <c r="M26" s="1183"/>
      <c r="N26" s="1183"/>
      <c r="O26" s="1183"/>
      <c r="P26" s="1183"/>
      <c r="S26" s="1080" t="s">
        <v>889</v>
      </c>
    </row>
    <row r="27" spans="1:19" hidden="1">
      <c r="S27" s="1080" t="s">
        <v>890</v>
      </c>
    </row>
    <row r="28" spans="1:19" hidden="1">
      <c r="S28" s="1080" t="s">
        <v>891</v>
      </c>
    </row>
    <row r="29" spans="1:19" hidden="1">
      <c r="S29" s="1080" t="s">
        <v>892</v>
      </c>
    </row>
    <row r="30" spans="1:19" hidden="1">
      <c r="S30" s="1080" t="s">
        <v>893</v>
      </c>
    </row>
    <row r="31" spans="1:19" hidden="1">
      <c r="S31" s="1080" t="s">
        <v>867</v>
      </c>
    </row>
    <row r="32" spans="1:19" hidden="1">
      <c r="S32" s="1080" t="s">
        <v>894</v>
      </c>
    </row>
    <row r="33" spans="19:19" hidden="1">
      <c r="S33" s="1080" t="s">
        <v>895</v>
      </c>
    </row>
  </sheetData>
  <sheetProtection selectLockedCells="1"/>
  <mergeCells count="22">
    <mergeCell ref="B4:E4"/>
    <mergeCell ref="F4:H4"/>
    <mergeCell ref="J4:O4"/>
    <mergeCell ref="B9:E10"/>
    <mergeCell ref="F10:I10"/>
    <mergeCell ref="F6:O7"/>
    <mergeCell ref="B12:D12"/>
    <mergeCell ref="F12:I12"/>
    <mergeCell ref="J12:K12"/>
    <mergeCell ref="L12:O12"/>
    <mergeCell ref="B14:C14"/>
    <mergeCell ref="F14:O14"/>
    <mergeCell ref="B22:E22"/>
    <mergeCell ref="F22:H22"/>
    <mergeCell ref="F24:H24"/>
    <mergeCell ref="B16:C16"/>
    <mergeCell ref="F16:H16"/>
    <mergeCell ref="F18:O18"/>
    <mergeCell ref="J16:K16"/>
    <mergeCell ref="M16:O16"/>
    <mergeCell ref="B20:D20"/>
    <mergeCell ref="F20:H20"/>
  </mergeCells>
  <conditionalFormatting sqref="J4:O4">
    <cfRule type="containsErrors" dxfId="88" priority="5">
      <formula>ISERROR(J4)</formula>
    </cfRule>
  </conditionalFormatting>
  <conditionalFormatting sqref="F6:O7">
    <cfRule type="containsErrors" dxfId="87" priority="4">
      <formula>ISERROR(F6)</formula>
    </cfRule>
  </conditionalFormatting>
  <conditionalFormatting sqref="L12:O12">
    <cfRule type="containsErrors" dxfId="86" priority="3">
      <formula>ISERROR(L12)</formula>
    </cfRule>
  </conditionalFormatting>
  <conditionalFormatting sqref="F14:O14">
    <cfRule type="containsErrors" dxfId="85" priority="2">
      <formula>ISERROR(F14)</formula>
    </cfRule>
  </conditionalFormatting>
  <conditionalFormatting sqref="F18:O18">
    <cfRule type="containsErrors" dxfId="84" priority="1">
      <formula>ISERROR(F18)</formula>
    </cfRule>
  </conditionalFormatting>
  <dataValidations count="3">
    <dataValidation type="list" allowBlank="1" showInputMessage="1" showErrorMessage="1" sqref="L12:O12">
      <formula1>"NON RENSEIGNE, 44 - Loire-Atlantique,49 - Maine-et-Loire,53 - Mayenne,72 - Sarthe, 85 - Vendée"</formula1>
    </dataValidation>
    <dataValidation type="textLength" operator="equal" allowBlank="1" showInputMessage="1" showErrorMessage="1" sqref="F4:H4 J16:K16 F16:H16">
      <formula1>9</formula1>
    </dataValidation>
    <dataValidation type="list" allowBlank="1" showInputMessage="1" showErrorMessage="1" sqref="F18:O18">
      <formula1>$S$1:$S$33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locked="0" defaultSize="0" autoFill="0" autoLine="0" autoPict="0">
                <anchor moveWithCells="1">
                  <from>
                    <xdr:col>5</xdr:col>
                    <xdr:colOff>47625</xdr:colOff>
                    <xdr:row>0</xdr:row>
                    <xdr:rowOff>161925</xdr:rowOff>
                  </from>
                  <to>
                    <xdr:col>5</xdr:col>
                    <xdr:colOff>419100</xdr:colOff>
                    <xdr:row>1</xdr:row>
                    <xdr:rowOff>266700</xdr:rowOff>
                  </to>
                </anchor>
              </controlPr>
            </control>
          </mc:Choice>
        </mc:AlternateContent>
        <mc:AlternateContent xmlns:mc="http://schemas.openxmlformats.org/markup-compatibility/2006">
          <mc:Choice Requires="x14">
            <control shapeId="49154" r:id="rId5" name="Option Button 2">
              <controlPr locked="0" defaultSize="0" autoFill="0" autoLine="0" autoPict="0">
                <anchor moveWithCells="1">
                  <from>
                    <xdr:col>7</xdr:col>
                    <xdr:colOff>47625</xdr:colOff>
                    <xdr:row>0</xdr:row>
                    <xdr:rowOff>152400</xdr:rowOff>
                  </from>
                  <to>
                    <xdr:col>7</xdr:col>
                    <xdr:colOff>457200</xdr:colOff>
                    <xdr:row>1</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L99"/>
  <sheetViews>
    <sheetView view="pageBreakPreview" zoomScale="85" zoomScaleNormal="100" zoomScaleSheetLayoutView="85" workbookViewId="0">
      <selection activeCell="G20" sqref="G20"/>
    </sheetView>
  </sheetViews>
  <sheetFormatPr baseColWidth="10" defaultRowHeight="16.5"/>
  <cols>
    <col min="1" max="1" width="5.7109375" style="1195" customWidth="1"/>
    <col min="2" max="2" width="55.7109375" style="1195" customWidth="1"/>
    <col min="3" max="5" width="16.5703125" style="1195" customWidth="1"/>
    <col min="6" max="6" width="55.7109375" style="1195" customWidth="1"/>
    <col min="7" max="9" width="16.5703125" style="1195" customWidth="1"/>
    <col min="10" max="10" width="5.7109375" style="1195" customWidth="1"/>
    <col min="11" max="16384" width="11.42578125" style="1195"/>
  </cols>
  <sheetData>
    <row r="1" spans="1:10" ht="9.9499999999999993" customHeight="1">
      <c r="A1" s="121"/>
      <c r="B1" s="121"/>
      <c r="C1" s="121"/>
      <c r="D1" s="121"/>
      <c r="E1" s="122"/>
      <c r="F1" s="121"/>
      <c r="G1" s="121"/>
      <c r="H1" s="121"/>
      <c r="I1" s="121"/>
      <c r="J1" s="121"/>
    </row>
    <row r="2" spans="1:10" ht="28.5">
      <c r="A2" s="121"/>
      <c r="B2" s="1227"/>
      <c r="C2" s="2135" t="s">
        <v>400</v>
      </c>
      <c r="D2" s="2135"/>
      <c r="E2" s="2135"/>
      <c r="F2" s="2135"/>
      <c r="G2" s="1227"/>
      <c r="H2" s="1227"/>
      <c r="I2" s="1227"/>
      <c r="J2" s="121"/>
    </row>
    <row r="3" spans="1:10" ht="9.75" customHeight="1">
      <c r="A3" s="121"/>
      <c r="B3" s="121"/>
      <c r="C3" s="121"/>
      <c r="D3" s="121"/>
      <c r="E3" s="121"/>
      <c r="F3" s="121"/>
      <c r="G3" s="121"/>
      <c r="H3" s="121"/>
      <c r="I3" s="121"/>
      <c r="J3" s="121"/>
    </row>
    <row r="4" spans="1:10" ht="15" customHeight="1">
      <c r="A4" s="121"/>
      <c r="B4" s="121"/>
      <c r="C4" s="121"/>
      <c r="D4" s="121"/>
      <c r="E4" s="121"/>
      <c r="F4" s="121"/>
      <c r="G4" s="121"/>
      <c r="H4" s="121"/>
      <c r="I4" s="121"/>
      <c r="J4" s="121"/>
    </row>
    <row r="5" spans="1:10" ht="15" customHeight="1">
      <c r="A5" s="121"/>
      <c r="B5" s="1406" t="s">
        <v>687</v>
      </c>
      <c r="C5" s="1407"/>
      <c r="D5" s="1407"/>
      <c r="E5" s="1407"/>
      <c r="F5" s="1408"/>
      <c r="G5" s="121"/>
      <c r="H5" s="121"/>
      <c r="I5" s="121"/>
      <c r="J5" s="121"/>
    </row>
    <row r="6" spans="1:10" ht="15" customHeight="1">
      <c r="A6" s="121"/>
      <c r="B6" s="1409"/>
      <c r="C6" s="1410"/>
      <c r="D6" s="1410"/>
      <c r="E6" s="1410"/>
      <c r="F6" s="1411"/>
      <c r="G6" s="121"/>
      <c r="H6" s="121"/>
      <c r="I6" s="121"/>
      <c r="J6" s="121"/>
    </row>
    <row r="7" spans="1:10" ht="15" customHeight="1">
      <c r="A7" s="121"/>
      <c r="B7" s="1409"/>
      <c r="C7" s="1410"/>
      <c r="D7" s="1410"/>
      <c r="E7" s="1410"/>
      <c r="F7" s="1411"/>
      <c r="G7" s="121"/>
      <c r="H7" s="121"/>
      <c r="I7" s="121"/>
      <c r="J7" s="121"/>
    </row>
    <row r="8" spans="1:10" ht="15" customHeight="1">
      <c r="A8" s="121"/>
      <c r="B8" s="1409"/>
      <c r="C8" s="1410"/>
      <c r="D8" s="1410"/>
      <c r="E8" s="1410"/>
      <c r="F8" s="1411"/>
      <c r="G8" s="121"/>
      <c r="H8" s="121"/>
      <c r="I8" s="121"/>
      <c r="J8" s="121"/>
    </row>
    <row r="9" spans="1:10" ht="15" customHeight="1">
      <c r="A9" s="121"/>
      <c r="B9" s="1409"/>
      <c r="C9" s="1410"/>
      <c r="D9" s="1410"/>
      <c r="E9" s="1410"/>
      <c r="F9" s="1411"/>
      <c r="G9" s="121"/>
      <c r="H9" s="121"/>
      <c r="I9" s="121"/>
      <c r="J9" s="121"/>
    </row>
    <row r="10" spans="1:10" ht="15" customHeight="1">
      <c r="A10" s="121"/>
      <c r="B10" s="1409"/>
      <c r="C10" s="1410"/>
      <c r="D10" s="1410"/>
      <c r="E10" s="1410"/>
      <c r="F10" s="1411"/>
      <c r="G10" s="121"/>
      <c r="H10" s="121"/>
      <c r="I10" s="121"/>
      <c r="J10" s="121"/>
    </row>
    <row r="11" spans="1:10" ht="15" customHeight="1">
      <c r="A11" s="121"/>
      <c r="B11" s="1409"/>
      <c r="C11" s="1410"/>
      <c r="D11" s="1410"/>
      <c r="E11" s="1410"/>
      <c r="F11" s="1411"/>
      <c r="G11" s="121"/>
      <c r="H11" s="121"/>
      <c r="I11" s="121"/>
      <c r="J11" s="121"/>
    </row>
    <row r="12" spans="1:10" ht="15" customHeight="1">
      <c r="A12" s="121"/>
      <c r="B12" s="1409"/>
      <c r="C12" s="1410"/>
      <c r="D12" s="1410"/>
      <c r="E12" s="1410"/>
      <c r="F12" s="1411"/>
      <c r="G12" s="121"/>
      <c r="H12" s="121"/>
      <c r="I12" s="121"/>
      <c r="J12" s="121"/>
    </row>
    <row r="13" spans="1:10" ht="15" customHeight="1">
      <c r="A13" s="121"/>
      <c r="B13" s="1409"/>
      <c r="C13" s="1410"/>
      <c r="D13" s="1410"/>
      <c r="E13" s="1410"/>
      <c r="F13" s="1411"/>
      <c r="G13" s="1228"/>
      <c r="H13" s="121"/>
      <c r="I13" s="121"/>
      <c r="J13" s="121"/>
    </row>
    <row r="14" spans="1:10" ht="15" customHeight="1">
      <c r="A14" s="121"/>
      <c r="B14" s="1412"/>
      <c r="C14" s="1413"/>
      <c r="D14" s="1413"/>
      <c r="E14" s="1413"/>
      <c r="F14" s="1414"/>
      <c r="G14" s="1228"/>
      <c r="H14" s="122"/>
      <c r="I14" s="121"/>
      <c r="J14" s="121"/>
    </row>
    <row r="15" spans="1:10" ht="15" customHeight="1">
      <c r="A15" s="121"/>
      <c r="B15" s="1217"/>
      <c r="C15" s="1217"/>
      <c r="D15" s="1217"/>
      <c r="E15" s="1217"/>
      <c r="F15" s="1217"/>
      <c r="G15" s="121"/>
      <c r="H15" s="121"/>
      <c r="I15" s="121"/>
      <c r="J15" s="121"/>
    </row>
    <row r="16" spans="1:10" ht="15" customHeight="1" thickBot="1">
      <c r="A16" s="121"/>
      <c r="B16" s="121"/>
      <c r="C16" s="1229" t="s">
        <v>684</v>
      </c>
      <c r="D16" s="1229" t="s">
        <v>685</v>
      </c>
      <c r="E16" s="1229" t="s">
        <v>230</v>
      </c>
      <c r="F16" s="1229"/>
      <c r="G16" s="1229" t="s">
        <v>684</v>
      </c>
      <c r="H16" s="1229" t="s">
        <v>685</v>
      </c>
      <c r="I16" s="1229" t="s">
        <v>230</v>
      </c>
      <c r="J16" s="121"/>
    </row>
    <row r="17" spans="1:10" ht="17.25" thickBot="1">
      <c r="A17" s="121"/>
      <c r="B17" s="1230" t="s">
        <v>74</v>
      </c>
      <c r="C17" s="1171">
        <f>D17-1</f>
        <v>2017</v>
      </c>
      <c r="D17" s="1171">
        <f>E17-1</f>
        <v>2018</v>
      </c>
      <c r="E17" s="1196">
        <v>2019</v>
      </c>
      <c r="F17" s="1231" t="s">
        <v>78</v>
      </c>
      <c r="G17" s="920">
        <f>C17</f>
        <v>2017</v>
      </c>
      <c r="H17" s="920">
        <f>$D$17</f>
        <v>2018</v>
      </c>
      <c r="I17" s="921">
        <f>E17</f>
        <v>2019</v>
      </c>
      <c r="J17" s="121"/>
    </row>
    <row r="18" spans="1:10" ht="9.9499999999999993" customHeight="1">
      <c r="A18" s="121"/>
      <c r="B18" s="1232"/>
      <c r="C18" s="1233"/>
      <c r="D18" s="1233"/>
      <c r="E18" s="1234"/>
      <c r="F18" s="1235"/>
      <c r="G18" s="1235"/>
      <c r="H18" s="1235"/>
      <c r="I18" s="1236"/>
      <c r="J18" s="121"/>
    </row>
    <row r="19" spans="1:10" ht="17.25" customHeight="1">
      <c r="A19" s="121"/>
      <c r="B19" s="1237" t="s">
        <v>37</v>
      </c>
      <c r="C19" s="1238"/>
      <c r="D19" s="1238"/>
      <c r="E19" s="1239"/>
      <c r="F19" s="1240" t="s">
        <v>36</v>
      </c>
      <c r="G19" s="1240"/>
      <c r="H19" s="1240"/>
      <c r="I19" s="1241"/>
      <c r="J19" s="121"/>
    </row>
    <row r="20" spans="1:10" ht="15" customHeight="1">
      <c r="A20" s="121"/>
      <c r="B20" s="1242" t="s">
        <v>50</v>
      </c>
      <c r="C20" s="1197">
        <v>0</v>
      </c>
      <c r="D20" s="1197">
        <v>0</v>
      </c>
      <c r="E20" s="1198">
        <v>0</v>
      </c>
      <c r="F20" s="1249" t="s">
        <v>82</v>
      </c>
      <c r="G20" s="1197">
        <v>0</v>
      </c>
      <c r="H20" s="1197">
        <v>0</v>
      </c>
      <c r="I20" s="1199">
        <v>0</v>
      </c>
      <c r="J20" s="121"/>
    </row>
    <row r="21" spans="1:10" ht="15" customHeight="1">
      <c r="A21" s="121"/>
      <c r="B21" s="1243"/>
      <c r="C21" s="1225"/>
      <c r="D21" s="1225"/>
      <c r="E21" s="1226"/>
      <c r="F21" s="1250" t="s">
        <v>87</v>
      </c>
      <c r="G21" s="1200">
        <v>0</v>
      </c>
      <c r="H21" s="1200">
        <v>0</v>
      </c>
      <c r="I21" s="1202">
        <v>0</v>
      </c>
      <c r="J21" s="121"/>
    </row>
    <row r="22" spans="1:10" ht="15" customHeight="1">
      <c r="A22" s="1239"/>
      <c r="B22" s="1244" t="s">
        <v>135</v>
      </c>
      <c r="C22" s="632">
        <f>SUM($C$23:$C$26)</f>
        <v>0</v>
      </c>
      <c r="D22" s="632">
        <f>SUM($D$23:$D$26)</f>
        <v>0</v>
      </c>
      <c r="E22" s="633">
        <f>SUM($E$23:$E$26)</f>
        <v>0</v>
      </c>
      <c r="F22" s="1250" t="s">
        <v>59</v>
      </c>
      <c r="G22" s="1200">
        <v>0</v>
      </c>
      <c r="H22" s="1200">
        <v>0</v>
      </c>
      <c r="I22" s="1202">
        <v>0</v>
      </c>
      <c r="J22" s="121"/>
    </row>
    <row r="23" spans="1:10" ht="15" customHeight="1">
      <c r="A23" s="121"/>
      <c r="B23" s="1245" t="s">
        <v>75</v>
      </c>
      <c r="C23" s="1200">
        <v>0</v>
      </c>
      <c r="D23" s="1200">
        <v>0</v>
      </c>
      <c r="E23" s="1201">
        <v>0</v>
      </c>
      <c r="F23" s="1250" t="s">
        <v>83</v>
      </c>
      <c r="G23" s="1200">
        <v>0</v>
      </c>
      <c r="H23" s="1200">
        <v>0</v>
      </c>
      <c r="I23" s="1202">
        <v>0</v>
      </c>
      <c r="J23" s="121"/>
    </row>
    <row r="24" spans="1:10" ht="15" customHeight="1">
      <c r="A24" s="121"/>
      <c r="B24" s="1245" t="s">
        <v>57</v>
      </c>
      <c r="C24" s="1200">
        <v>0</v>
      </c>
      <c r="D24" s="1200">
        <v>0</v>
      </c>
      <c r="E24" s="1201">
        <v>0</v>
      </c>
      <c r="F24" s="1249" t="s">
        <v>88</v>
      </c>
      <c r="G24" s="1197">
        <v>0</v>
      </c>
      <c r="H24" s="1197">
        <v>0</v>
      </c>
      <c r="I24" s="1199">
        <v>0</v>
      </c>
      <c r="J24" s="121"/>
    </row>
    <row r="25" spans="1:10" ht="15" customHeight="1">
      <c r="A25" s="121"/>
      <c r="B25" s="1246" t="s">
        <v>91</v>
      </c>
      <c r="C25" s="1200">
        <v>0</v>
      </c>
      <c r="D25" s="1200">
        <v>0</v>
      </c>
      <c r="E25" s="1201">
        <v>0</v>
      </c>
      <c r="F25" s="1250" t="s">
        <v>89</v>
      </c>
      <c r="G25" s="1200">
        <v>0</v>
      </c>
      <c r="H25" s="1200">
        <v>0</v>
      </c>
      <c r="I25" s="1202">
        <v>0</v>
      </c>
      <c r="J25" s="121"/>
    </row>
    <row r="26" spans="1:10" ht="15" customHeight="1">
      <c r="A26" s="121"/>
      <c r="B26" s="1247" t="s">
        <v>92</v>
      </c>
      <c r="C26" s="1200">
        <v>0</v>
      </c>
      <c r="D26" s="1200">
        <v>0</v>
      </c>
      <c r="E26" s="1201">
        <v>0</v>
      </c>
      <c r="F26" s="1250" t="s">
        <v>90</v>
      </c>
      <c r="G26" s="1200">
        <v>0</v>
      </c>
      <c r="H26" s="1197">
        <v>0</v>
      </c>
      <c r="I26" s="1202">
        <v>0</v>
      </c>
      <c r="J26" s="121"/>
    </row>
    <row r="27" spans="1:10" ht="15" customHeight="1">
      <c r="A27" s="121"/>
      <c r="B27" s="1247" t="s">
        <v>746</v>
      </c>
      <c r="C27" s="1200">
        <v>0</v>
      </c>
      <c r="D27" s="1200">
        <v>0</v>
      </c>
      <c r="E27" s="1201">
        <v>0</v>
      </c>
      <c r="F27" s="1251" t="s">
        <v>84</v>
      </c>
      <c r="G27" s="1200">
        <v>0</v>
      </c>
      <c r="H27" s="1200">
        <v>0</v>
      </c>
      <c r="I27" s="1202">
        <v>0</v>
      </c>
      <c r="J27" s="121"/>
    </row>
    <row r="28" spans="1:10" ht="15" customHeight="1">
      <c r="A28" s="121"/>
      <c r="B28" s="1243" t="s">
        <v>58</v>
      </c>
      <c r="C28" s="1200">
        <v>0</v>
      </c>
      <c r="D28" s="1200">
        <v>0</v>
      </c>
      <c r="E28" s="1201">
        <v>0</v>
      </c>
      <c r="F28" s="1252" t="s">
        <v>85</v>
      </c>
      <c r="G28" s="632">
        <f>SUM($G$29:$G$32)</f>
        <v>0</v>
      </c>
      <c r="H28" s="632">
        <f>SUM($H$29:$H$32)</f>
        <v>0</v>
      </c>
      <c r="I28" s="634">
        <f>SUM($I$29:$I$32)</f>
        <v>0</v>
      </c>
      <c r="J28" s="121"/>
    </row>
    <row r="29" spans="1:10" ht="15" customHeight="1">
      <c r="A29" s="121"/>
      <c r="B29" s="1243" t="s">
        <v>52</v>
      </c>
      <c r="C29" s="1200">
        <v>0</v>
      </c>
      <c r="D29" s="1200">
        <v>0</v>
      </c>
      <c r="E29" s="1201">
        <v>0</v>
      </c>
      <c r="F29" s="1253" t="s">
        <v>50</v>
      </c>
      <c r="G29" s="1200">
        <v>0</v>
      </c>
      <c r="H29" s="1200">
        <v>0</v>
      </c>
      <c r="I29" s="1202">
        <v>0</v>
      </c>
      <c r="J29" s="121"/>
    </row>
    <row r="30" spans="1:10" ht="15" customHeight="1">
      <c r="A30" s="121"/>
      <c r="B30" s="1243"/>
      <c r="C30" s="1225"/>
      <c r="D30" s="1225"/>
      <c r="E30" s="1226"/>
      <c r="F30" s="1253" t="s">
        <v>57</v>
      </c>
      <c r="G30" s="1200">
        <v>0</v>
      </c>
      <c r="H30" s="1200">
        <v>0</v>
      </c>
      <c r="I30" s="1202">
        <v>0</v>
      </c>
      <c r="J30" s="121"/>
    </row>
    <row r="31" spans="1:10" ht="15" customHeight="1">
      <c r="A31" s="121"/>
      <c r="B31" s="1243" t="s">
        <v>136</v>
      </c>
      <c r="C31" s="1200">
        <v>0</v>
      </c>
      <c r="D31" s="1200">
        <v>0</v>
      </c>
      <c r="E31" s="1201">
        <v>0</v>
      </c>
      <c r="F31" s="1254" t="s">
        <v>91</v>
      </c>
      <c r="G31" s="1200">
        <v>0</v>
      </c>
      <c r="H31" s="1200">
        <v>0</v>
      </c>
      <c r="I31" s="1202">
        <v>0</v>
      </c>
      <c r="J31" s="121"/>
    </row>
    <row r="32" spans="1:10" ht="15" customHeight="1">
      <c r="A32" s="121"/>
      <c r="B32" s="1243" t="s">
        <v>92</v>
      </c>
      <c r="C32" s="1200">
        <v>0</v>
      </c>
      <c r="D32" s="1200">
        <v>0</v>
      </c>
      <c r="E32" s="1201">
        <v>0</v>
      </c>
      <c r="F32" s="1253" t="s">
        <v>92</v>
      </c>
      <c r="G32" s="1200">
        <v>0</v>
      </c>
      <c r="H32" s="1200">
        <v>0</v>
      </c>
      <c r="I32" s="1202">
        <v>0</v>
      </c>
      <c r="J32" s="121"/>
    </row>
    <row r="33" spans="1:12" ht="15" customHeight="1">
      <c r="A33" s="121"/>
      <c r="B33" s="1243" t="s">
        <v>168</v>
      </c>
      <c r="C33" s="1200">
        <v>0</v>
      </c>
      <c r="D33" s="1200">
        <v>0</v>
      </c>
      <c r="E33" s="1201">
        <v>0</v>
      </c>
      <c r="F33" s="1255" t="s">
        <v>143</v>
      </c>
      <c r="G33" s="1200">
        <v>0</v>
      </c>
      <c r="H33" s="1200">
        <v>0</v>
      </c>
      <c r="I33" s="1202">
        <v>0</v>
      </c>
      <c r="J33" s="121"/>
    </row>
    <row r="34" spans="1:12" ht="15" customHeight="1">
      <c r="A34" s="121"/>
      <c r="B34" s="1243"/>
      <c r="C34" s="1225"/>
      <c r="D34" s="1225"/>
      <c r="E34" s="1226"/>
      <c r="F34" s="1256" t="s">
        <v>92</v>
      </c>
      <c r="G34" s="1200">
        <v>0</v>
      </c>
      <c r="H34" s="1200">
        <v>0</v>
      </c>
      <c r="I34" s="1202">
        <v>0</v>
      </c>
      <c r="J34" s="121"/>
    </row>
    <row r="35" spans="1:12" ht="15" customHeight="1">
      <c r="A35" s="121"/>
      <c r="B35" s="1243" t="s">
        <v>86</v>
      </c>
      <c r="C35" s="1200">
        <v>0</v>
      </c>
      <c r="D35" s="1200">
        <v>0</v>
      </c>
      <c r="E35" s="1201">
        <v>0</v>
      </c>
      <c r="F35" s="1257" t="s">
        <v>86</v>
      </c>
      <c r="G35" s="1200">
        <v>0</v>
      </c>
      <c r="H35" s="1200">
        <v>0</v>
      </c>
      <c r="I35" s="1202">
        <v>0</v>
      </c>
      <c r="J35" s="121"/>
    </row>
    <row r="36" spans="1:12" ht="9.9499999999999993" customHeight="1">
      <c r="A36" s="121"/>
      <c r="B36" s="1248"/>
      <c r="C36" s="124"/>
      <c r="D36" s="124"/>
      <c r="E36" s="1239"/>
      <c r="F36" s="1258"/>
      <c r="G36" s="1258"/>
      <c r="H36" s="1258"/>
      <c r="I36" s="1259"/>
      <c r="J36" s="121"/>
    </row>
    <row r="37" spans="1:12" ht="16.5" customHeight="1">
      <c r="A37" s="121"/>
      <c r="B37" s="2128" t="s">
        <v>134</v>
      </c>
      <c r="C37" s="2129">
        <f>$C$20+$C$23+$C$24+$C$25+$C$26+$C$27+$C$28+$C$29+$C$31+$C$32+$C$33+$C$35</f>
        <v>0</v>
      </c>
      <c r="D37" s="2129">
        <f>$D$20+$D$23+$D$24+$D$25+$D$26+$D$27+$D$28+$D$29+$D$31+$D$32+$D$33+$D$35</f>
        <v>0</v>
      </c>
      <c r="E37" s="2130">
        <f>$E$20+$E$23+$E$24+$E$25+$E$26+$E$27+$E$28+$E$29+$E$31+$E$32+$E$33+$E$35</f>
        <v>0</v>
      </c>
      <c r="F37" s="2131" t="s">
        <v>93</v>
      </c>
      <c r="G37" s="2132">
        <f>$G$20+$G$21+$G$22+$G$23+$G$24+$G$25+$G$26+$G$27+$G$28+$G$33+$G$34+$G$35</f>
        <v>0</v>
      </c>
      <c r="H37" s="2132">
        <f>$H$20+$H$21+$H$22+$H$23+$H$24+$H$25+$H$26+$H$27+$H$28+$H$33+$H$34+$H$35</f>
        <v>0</v>
      </c>
      <c r="I37" s="2133">
        <f>$I$20+$I$21+$I$22+$I$23+$I$24+$I$25+$I$26+$I$27+$I$28+$I$33+$I$34+$I$35</f>
        <v>0</v>
      </c>
      <c r="J37" s="122"/>
    </row>
    <row r="38" spans="1:12" ht="15" customHeight="1">
      <c r="A38" s="121"/>
      <c r="B38" s="2123" t="s">
        <v>137</v>
      </c>
      <c r="C38" s="2124" t="str">
        <f>IF(C37&gt;G37,G37-C37,"")</f>
        <v/>
      </c>
      <c r="D38" s="2124" t="str">
        <f>IF(D37&gt;H37,H37-D37,"")</f>
        <v/>
      </c>
      <c r="E38" s="2125" t="str">
        <f>IF(E37&gt;I37,I37-E37,"")</f>
        <v/>
      </c>
      <c r="F38" s="2123" t="s">
        <v>138</v>
      </c>
      <c r="G38" s="2126" t="str">
        <f>IF(G37&gt;C37,G37-C37,"")</f>
        <v/>
      </c>
      <c r="H38" s="2126" t="str">
        <f>IF(H37&gt;D37,H37-D37,"")</f>
        <v/>
      </c>
      <c r="I38" s="2127" t="str">
        <f>IF(I37&gt;E37,I37-E37,"")</f>
        <v/>
      </c>
      <c r="J38" s="121"/>
    </row>
    <row r="39" spans="1:12" ht="15" customHeight="1">
      <c r="A39" s="121"/>
      <c r="B39" s="1248"/>
      <c r="C39" s="124"/>
      <c r="D39" s="124"/>
      <c r="E39" s="1239"/>
      <c r="F39" s="1260"/>
      <c r="G39" s="1260"/>
      <c r="H39" s="1260"/>
      <c r="I39" s="1261"/>
      <c r="J39" s="121"/>
    </row>
    <row r="40" spans="1:12" ht="17.25" customHeight="1">
      <c r="A40" s="121"/>
      <c r="B40" s="1237" t="s">
        <v>38</v>
      </c>
      <c r="C40" s="1238"/>
      <c r="D40" s="1238"/>
      <c r="E40" s="1262"/>
      <c r="F40" s="1240" t="s">
        <v>40</v>
      </c>
      <c r="G40" s="1240"/>
      <c r="H40" s="1240"/>
      <c r="I40" s="1261"/>
      <c r="J40" s="121"/>
      <c r="L40" s="1301"/>
    </row>
    <row r="41" spans="1:12" ht="15" customHeight="1">
      <c r="A41" s="121"/>
      <c r="B41" s="1242" t="s">
        <v>60</v>
      </c>
      <c r="C41" s="1197">
        <v>0</v>
      </c>
      <c r="D41" s="1197">
        <v>0</v>
      </c>
      <c r="E41" s="1198">
        <v>0</v>
      </c>
      <c r="F41" s="1256" t="s">
        <v>94</v>
      </c>
      <c r="G41" s="1197">
        <v>0</v>
      </c>
      <c r="H41" s="1197">
        <v>0</v>
      </c>
      <c r="I41" s="1199">
        <v>0</v>
      </c>
      <c r="J41" s="121"/>
    </row>
    <row r="42" spans="1:12" ht="15" customHeight="1">
      <c r="A42" s="121"/>
      <c r="B42" s="1243"/>
      <c r="C42" s="1283"/>
      <c r="D42" s="1283"/>
      <c r="E42" s="1284"/>
      <c r="F42" s="1257" t="s">
        <v>95</v>
      </c>
      <c r="G42" s="1200">
        <v>0</v>
      </c>
      <c r="H42" s="1200">
        <v>0</v>
      </c>
      <c r="I42" s="1202">
        <v>0</v>
      </c>
      <c r="J42" s="121"/>
    </row>
    <row r="43" spans="1:12" ht="15" customHeight="1">
      <c r="A43" s="121"/>
      <c r="B43" s="1243"/>
      <c r="C43" s="1283"/>
      <c r="D43" s="1283"/>
      <c r="E43" s="1284"/>
      <c r="F43" s="1251" t="s">
        <v>98</v>
      </c>
      <c r="G43" s="1200">
        <v>0</v>
      </c>
      <c r="H43" s="1200">
        <v>0</v>
      </c>
      <c r="I43" s="1202">
        <v>0</v>
      </c>
      <c r="J43" s="121"/>
    </row>
    <row r="44" spans="1:12" ht="15" customHeight="1">
      <c r="A44" s="121"/>
      <c r="B44" s="1243" t="s">
        <v>131</v>
      </c>
      <c r="C44" s="1200">
        <v>0</v>
      </c>
      <c r="D44" s="1200">
        <v>0</v>
      </c>
      <c r="E44" s="1202">
        <v>0</v>
      </c>
      <c r="F44" s="1251" t="s">
        <v>96</v>
      </c>
      <c r="G44" s="1287"/>
      <c r="H44" s="1287"/>
      <c r="I44" s="1287"/>
      <c r="J44" s="121"/>
    </row>
    <row r="45" spans="1:12" ht="15" customHeight="1">
      <c r="A45" s="121"/>
      <c r="B45" s="1243"/>
      <c r="C45" s="1283"/>
      <c r="D45" s="1283"/>
      <c r="E45" s="1284"/>
      <c r="F45" s="1253" t="s">
        <v>99</v>
      </c>
      <c r="G45" s="1200">
        <v>0</v>
      </c>
      <c r="H45" s="1200">
        <v>0</v>
      </c>
      <c r="I45" s="1202">
        <v>0</v>
      </c>
      <c r="J45" s="121"/>
    </row>
    <row r="46" spans="1:12" ht="15" customHeight="1">
      <c r="A46" s="121"/>
      <c r="B46" s="1243"/>
      <c r="C46" s="1225"/>
      <c r="D46" s="1225"/>
      <c r="E46" s="1226"/>
      <c r="F46" s="1253" t="s">
        <v>100</v>
      </c>
      <c r="G46" s="1200">
        <v>0</v>
      </c>
      <c r="H46" s="1200">
        <v>0</v>
      </c>
      <c r="I46" s="1202">
        <v>0</v>
      </c>
      <c r="J46" s="121"/>
      <c r="K46" s="1203"/>
    </row>
    <row r="47" spans="1:12" ht="15" customHeight="1">
      <c r="A47" s="121"/>
      <c r="B47" s="1243"/>
      <c r="C47" s="1283"/>
      <c r="D47" s="1283"/>
      <c r="E47" s="1284"/>
      <c r="F47" s="1251" t="s">
        <v>61</v>
      </c>
      <c r="G47" s="1200">
        <v>0</v>
      </c>
      <c r="H47" s="1200">
        <v>0</v>
      </c>
      <c r="I47" s="1202">
        <v>0</v>
      </c>
      <c r="J47" s="121"/>
      <c r="K47" s="1204"/>
    </row>
    <row r="48" spans="1:12" ht="15" customHeight="1">
      <c r="A48" s="121"/>
      <c r="B48" s="1243" t="s">
        <v>132</v>
      </c>
      <c r="C48" s="1200">
        <v>0</v>
      </c>
      <c r="D48" s="1200">
        <v>0</v>
      </c>
      <c r="E48" s="1201">
        <v>0</v>
      </c>
      <c r="F48" s="1275" t="s">
        <v>79</v>
      </c>
      <c r="G48" s="1200">
        <v>0</v>
      </c>
      <c r="H48" s="1200">
        <v>0</v>
      </c>
      <c r="I48" s="1202">
        <v>0</v>
      </c>
      <c r="J48" s="121"/>
    </row>
    <row r="49" spans="1:11" s="1203" customFormat="1" ht="15" customHeight="1">
      <c r="A49" s="629"/>
      <c r="B49" s="1243" t="s">
        <v>92</v>
      </c>
      <c r="C49" s="1200">
        <v>0</v>
      </c>
      <c r="D49" s="1200">
        <v>0</v>
      </c>
      <c r="E49" s="1201">
        <v>0</v>
      </c>
      <c r="F49" s="1251" t="s">
        <v>92</v>
      </c>
      <c r="G49" s="1200">
        <v>0</v>
      </c>
      <c r="H49" s="1200">
        <v>0</v>
      </c>
      <c r="I49" s="1202">
        <v>0</v>
      </c>
      <c r="J49" s="629"/>
      <c r="K49" s="1195"/>
    </row>
    <row r="50" spans="1:11" s="1204" customFormat="1" ht="15" customHeight="1">
      <c r="A50" s="630"/>
      <c r="B50" s="1263" t="s">
        <v>97</v>
      </c>
      <c r="C50" s="1200">
        <v>0</v>
      </c>
      <c r="D50" s="1200">
        <v>0</v>
      </c>
      <c r="E50" s="1201">
        <v>0</v>
      </c>
      <c r="F50" s="1251" t="s">
        <v>97</v>
      </c>
      <c r="G50" s="1200">
        <v>0</v>
      </c>
      <c r="H50" s="1200">
        <v>0</v>
      </c>
      <c r="I50" s="1202">
        <v>0</v>
      </c>
      <c r="J50" s="630"/>
      <c r="K50" s="1205"/>
    </row>
    <row r="51" spans="1:11" ht="9.9499999999999993" customHeight="1">
      <c r="A51" s="121"/>
      <c r="B51" s="1248"/>
      <c r="C51" s="124"/>
      <c r="D51" s="124"/>
      <c r="E51" s="1239"/>
      <c r="F51" s="1276"/>
      <c r="G51" s="1276"/>
      <c r="H51" s="1276"/>
      <c r="I51" s="1288"/>
      <c r="J51" s="121"/>
      <c r="K51" s="1205"/>
    </row>
    <row r="52" spans="1:11" ht="16.5" customHeight="1">
      <c r="A52" s="121"/>
      <c r="B52" s="2128" t="s">
        <v>133</v>
      </c>
      <c r="C52" s="2129">
        <f>$C$41+$C$44+$C$46+$C$48+$C$49+$C$50</f>
        <v>0</v>
      </c>
      <c r="D52" s="2129">
        <f>$D$41+$D$44+$D$46+$D$48+$D$49+$D$50</f>
        <v>0</v>
      </c>
      <c r="E52" s="2130">
        <f>$E$41+$E$44+$E$46+$E$48+$E$49+$E$50</f>
        <v>0</v>
      </c>
      <c r="F52" s="2131" t="s">
        <v>116</v>
      </c>
      <c r="G52" s="2132">
        <f>SUM($G$41:$G$50)</f>
        <v>0</v>
      </c>
      <c r="H52" s="2132">
        <f>SUM($H$41:$H$50)</f>
        <v>0</v>
      </c>
      <c r="I52" s="2134">
        <f>SUM($I$41:$I$50)</f>
        <v>0</v>
      </c>
      <c r="J52" s="121"/>
      <c r="K52" s="1205"/>
    </row>
    <row r="53" spans="1:11" s="1205" customFormat="1" ht="15" customHeight="1">
      <c r="A53" s="631"/>
      <c r="B53" s="2123" t="s">
        <v>139</v>
      </c>
      <c r="C53" s="2124" t="str">
        <f>IF($C$52&gt;$G$52,$G$52-$C$52,"")</f>
        <v/>
      </c>
      <c r="D53" s="2124" t="str">
        <f>IF($D$52&gt;$H$52,$H$52-$D$52,"")</f>
        <v/>
      </c>
      <c r="E53" s="2125" t="str">
        <f>IF($E$52&gt;$I$52,$I$52-$E$52,"")</f>
        <v/>
      </c>
      <c r="F53" s="2123" t="s">
        <v>140</v>
      </c>
      <c r="G53" s="2126" t="str">
        <f>IF($G$52&gt;$C$52,$G$52-$C$52,"")</f>
        <v/>
      </c>
      <c r="H53" s="2126" t="str">
        <f>IF($H$52&gt;$D$52,$H$52-$D$52,"")</f>
        <v/>
      </c>
      <c r="I53" s="2127" t="str">
        <f>IF($I$52&gt;$E$52,$I$52-$E$52,"")</f>
        <v/>
      </c>
      <c r="J53" s="631"/>
    </row>
    <row r="54" spans="1:11" s="1205" customFormat="1" ht="9.9499999999999993" customHeight="1">
      <c r="A54" s="631"/>
      <c r="B54" s="1264"/>
      <c r="C54" s="1285"/>
      <c r="D54" s="1285"/>
      <c r="E54" s="1286"/>
      <c r="F54" s="1264"/>
      <c r="G54" s="1277"/>
      <c r="H54" s="1277"/>
      <c r="I54" s="1289"/>
      <c r="J54" s="631"/>
    </row>
    <row r="55" spans="1:11" s="1205" customFormat="1" ht="24.95" customHeight="1">
      <c r="A55" s="631"/>
      <c r="B55" s="2122" t="s">
        <v>130</v>
      </c>
      <c r="C55" s="2118" t="str">
        <f>IF(($C$37+$C$52)&gt;($G$37+$G$52),($G$37+$G$52)-($C$37+$C$52),"")</f>
        <v/>
      </c>
      <c r="D55" s="2118" t="str">
        <f>IF(($D$37+$D$52)&gt;($H$37+$H$52),($H$37+$H$52)-($D$37+$D$52),"")</f>
        <v/>
      </c>
      <c r="E55" s="2119" t="str">
        <f>IF(($E$37+$E$52)&gt;($I$37+$I$52),($I$37+$I$52)-($E$37+$E$52),"")</f>
        <v/>
      </c>
      <c r="F55" s="2122" t="s">
        <v>101</v>
      </c>
      <c r="G55" s="2120" t="str">
        <f>IF(($G$37+$G$52)&gt;($C$37+$C$52),($G$37+$G$52)-($C$37+$C$52),"")</f>
        <v/>
      </c>
      <c r="H55" s="2120" t="str">
        <f>IF(($H$37+$H$52)&gt;($D$37+$D$52),($H$37+$H$52)-($D$37+$D$52),"")</f>
        <v/>
      </c>
      <c r="I55" s="2121" t="str">
        <f>IF(($I$37+$I$52)&gt;($E$37+$E$52),($I$37+$I$52)-($E$37+$E$52),"")</f>
        <v/>
      </c>
      <c r="J55" s="631"/>
    </row>
    <row r="56" spans="1:11" s="1205" customFormat="1" ht="15" customHeight="1">
      <c r="A56" s="631"/>
      <c r="B56" s="1264"/>
      <c r="C56" s="1285"/>
      <c r="D56" s="1285"/>
      <c r="E56" s="1291"/>
      <c r="F56" s="1277"/>
      <c r="G56" s="1277"/>
      <c r="H56" s="1277"/>
      <c r="I56" s="1289"/>
      <c r="J56" s="631"/>
    </row>
    <row r="57" spans="1:11" s="1205" customFormat="1" ht="17.25" customHeight="1">
      <c r="A57" s="631"/>
      <c r="B57" s="1265" t="s">
        <v>124</v>
      </c>
      <c r="C57" s="1292"/>
      <c r="D57" s="1292"/>
      <c r="E57" s="1293"/>
      <c r="F57" s="1278" t="s">
        <v>55</v>
      </c>
      <c r="G57" s="1278"/>
      <c r="H57" s="1278"/>
      <c r="I57" s="1290"/>
      <c r="J57" s="631"/>
    </row>
    <row r="58" spans="1:11" s="1205" customFormat="1" ht="15" customHeight="1">
      <c r="A58" s="631"/>
      <c r="B58" s="1266" t="s">
        <v>53</v>
      </c>
      <c r="C58" s="1197">
        <v>0</v>
      </c>
      <c r="D58" s="1197">
        <v>0</v>
      </c>
      <c r="E58" s="1198">
        <v>0</v>
      </c>
      <c r="F58" s="1255" t="s">
        <v>102</v>
      </c>
      <c r="G58" s="1197">
        <v>0</v>
      </c>
      <c r="H58" s="1197">
        <v>0</v>
      </c>
      <c r="I58" s="1199">
        <v>0</v>
      </c>
      <c r="J58" s="631"/>
    </row>
    <row r="59" spans="1:11" s="1205" customFormat="1" ht="15" customHeight="1">
      <c r="A59" s="631"/>
      <c r="B59" s="1267" t="s">
        <v>125</v>
      </c>
      <c r="C59" s="1200">
        <v>0</v>
      </c>
      <c r="D59" s="1200">
        <v>0</v>
      </c>
      <c r="E59" s="1201">
        <v>0</v>
      </c>
      <c r="F59" s="1251" t="s">
        <v>103</v>
      </c>
      <c r="G59" s="1200">
        <v>0</v>
      </c>
      <c r="H59" s="1200">
        <v>0</v>
      </c>
      <c r="I59" s="1202">
        <v>0</v>
      </c>
      <c r="J59" s="631"/>
    </row>
    <row r="60" spans="1:11" s="1205" customFormat="1" ht="15" customHeight="1">
      <c r="A60" s="631"/>
      <c r="B60" s="1267"/>
      <c r="C60" s="1225"/>
      <c r="D60" s="1225"/>
      <c r="E60" s="1226"/>
      <c r="F60" s="1255" t="s">
        <v>80</v>
      </c>
      <c r="G60" s="1200">
        <v>0</v>
      </c>
      <c r="H60" s="1200">
        <v>0</v>
      </c>
      <c r="I60" s="1200">
        <v>0</v>
      </c>
      <c r="J60" s="631"/>
    </row>
    <row r="61" spans="1:11" s="1205" customFormat="1" ht="15" customHeight="1">
      <c r="A61" s="631"/>
      <c r="B61" s="1267" t="s">
        <v>126</v>
      </c>
      <c r="C61" s="1200">
        <v>0</v>
      </c>
      <c r="D61" s="1200">
        <v>0</v>
      </c>
      <c r="E61" s="1201">
        <v>0</v>
      </c>
      <c r="F61" s="1255" t="s">
        <v>144</v>
      </c>
      <c r="G61" s="1200">
        <v>0</v>
      </c>
      <c r="H61" s="1200">
        <v>0</v>
      </c>
      <c r="I61" s="1202">
        <v>0</v>
      </c>
      <c r="J61" s="631"/>
      <c r="K61" s="1195"/>
    </row>
    <row r="62" spans="1:11" s="1205" customFormat="1" ht="15" customHeight="1">
      <c r="A62" s="631"/>
      <c r="B62" s="1267" t="s">
        <v>127</v>
      </c>
      <c r="C62" s="1200">
        <v>0</v>
      </c>
      <c r="D62" s="1200">
        <v>0</v>
      </c>
      <c r="E62" s="1201">
        <v>0</v>
      </c>
      <c r="F62" s="1251" t="s">
        <v>104</v>
      </c>
      <c r="G62" s="1200">
        <v>0</v>
      </c>
      <c r="H62" s="1200">
        <v>0</v>
      </c>
      <c r="I62" s="1202">
        <v>0</v>
      </c>
      <c r="J62" s="631"/>
      <c r="K62" s="1195"/>
    </row>
    <row r="63" spans="1:11" s="1205" customFormat="1" ht="15" customHeight="1">
      <c r="A63" s="631"/>
      <c r="B63" s="1243" t="s">
        <v>128</v>
      </c>
      <c r="C63" s="1200">
        <v>0</v>
      </c>
      <c r="D63" s="1200">
        <v>0</v>
      </c>
      <c r="E63" s="1201">
        <v>0</v>
      </c>
      <c r="F63" s="1251" t="s">
        <v>105</v>
      </c>
      <c r="G63" s="1200">
        <v>0</v>
      </c>
      <c r="H63" s="1200">
        <v>0</v>
      </c>
      <c r="I63" s="1202">
        <v>0</v>
      </c>
      <c r="J63" s="631"/>
      <c r="K63" s="1195"/>
    </row>
    <row r="64" spans="1:11" ht="15" customHeight="1">
      <c r="A64" s="121"/>
      <c r="B64" s="1243" t="s">
        <v>62</v>
      </c>
      <c r="C64" s="1200">
        <v>0</v>
      </c>
      <c r="D64" s="1200">
        <v>0</v>
      </c>
      <c r="E64" s="1201">
        <v>0</v>
      </c>
      <c r="F64" s="1257" t="s">
        <v>81</v>
      </c>
      <c r="G64" s="1200">
        <v>0</v>
      </c>
      <c r="H64" s="1200">
        <v>0</v>
      </c>
      <c r="I64" s="1202">
        <v>0</v>
      </c>
      <c r="J64" s="121"/>
    </row>
    <row r="65" spans="1:10" ht="15" customHeight="1">
      <c r="A65" s="121"/>
      <c r="B65" s="1243" t="s">
        <v>169</v>
      </c>
      <c r="C65" s="1200">
        <v>0</v>
      </c>
      <c r="D65" s="1200">
        <v>0</v>
      </c>
      <c r="E65" s="1201">
        <v>0</v>
      </c>
      <c r="F65" s="1257" t="s">
        <v>106</v>
      </c>
      <c r="G65" s="1200">
        <v>0</v>
      </c>
      <c r="H65" s="1200">
        <v>0</v>
      </c>
      <c r="I65" s="1202">
        <v>0</v>
      </c>
      <c r="J65" s="121"/>
    </row>
    <row r="66" spans="1:10" ht="15" customHeight="1">
      <c r="A66" s="121"/>
      <c r="B66" s="1243" t="s">
        <v>92</v>
      </c>
      <c r="C66" s="1200">
        <v>0</v>
      </c>
      <c r="D66" s="1200">
        <v>0</v>
      </c>
      <c r="E66" s="1201">
        <v>0</v>
      </c>
      <c r="F66" s="1257" t="s">
        <v>107</v>
      </c>
      <c r="G66" s="1200">
        <v>0</v>
      </c>
      <c r="H66" s="1200">
        <v>0</v>
      </c>
      <c r="I66" s="1202">
        <v>0</v>
      </c>
      <c r="J66" s="121"/>
    </row>
    <row r="67" spans="1:10" ht="15" customHeight="1">
      <c r="A67" s="121"/>
      <c r="B67" s="1243"/>
      <c r="C67" s="1225"/>
      <c r="D67" s="1225"/>
      <c r="E67" s="1226"/>
      <c r="F67" s="1257" t="s">
        <v>92</v>
      </c>
      <c r="G67" s="1200">
        <v>0</v>
      </c>
      <c r="H67" s="1200">
        <v>0</v>
      </c>
      <c r="I67" s="1202">
        <v>0</v>
      </c>
      <c r="J67" s="121"/>
    </row>
    <row r="68" spans="1:10" ht="15" customHeight="1">
      <c r="A68" s="121"/>
      <c r="B68" s="1243" t="s">
        <v>108</v>
      </c>
      <c r="C68" s="1200">
        <v>0</v>
      </c>
      <c r="D68" s="1200">
        <v>0</v>
      </c>
      <c r="E68" s="1201">
        <v>0</v>
      </c>
      <c r="F68" s="1257" t="s">
        <v>108</v>
      </c>
      <c r="G68" s="1200">
        <v>0</v>
      </c>
      <c r="H68" s="1200">
        <v>0</v>
      </c>
      <c r="I68" s="1202">
        <v>0</v>
      </c>
      <c r="J68" s="121"/>
    </row>
    <row r="69" spans="1:10" ht="9.9499999999999993" customHeight="1">
      <c r="A69" s="121"/>
      <c r="B69" s="1248"/>
      <c r="C69" s="124"/>
      <c r="D69" s="124"/>
      <c r="E69" s="1239"/>
      <c r="F69" s="1279"/>
      <c r="G69" s="1279"/>
      <c r="H69" s="1279"/>
      <c r="I69" s="1294"/>
      <c r="J69" s="121"/>
    </row>
    <row r="70" spans="1:10" ht="16.5" customHeight="1">
      <c r="A70" s="121"/>
      <c r="B70" s="2128" t="s">
        <v>129</v>
      </c>
      <c r="C70" s="2129">
        <f>$C$58+$C$59+$C$61+$C$62+$C$63+$C$64+$C$65+$C$66+$C$68</f>
        <v>0</v>
      </c>
      <c r="D70" s="2129">
        <f>$D$58+$D$59+$D$61+$D$62+$D$63+$D$64+$D$65+$D$66+$D$68</f>
        <v>0</v>
      </c>
      <c r="E70" s="2130">
        <f>$E$58+$E$59+$E$61+$E$62+$E$63+$E$64+$E$65+$E$66+$E$68</f>
        <v>0</v>
      </c>
      <c r="F70" s="2131" t="s">
        <v>118</v>
      </c>
      <c r="G70" s="2132">
        <f>SUM($G$58:$G$68)</f>
        <v>0</v>
      </c>
      <c r="H70" s="2132">
        <f>SUM($H$58:$H$68)</f>
        <v>0</v>
      </c>
      <c r="I70" s="2134">
        <f>SUM($I$58:$I$68)</f>
        <v>0</v>
      </c>
      <c r="J70" s="121"/>
    </row>
    <row r="71" spans="1:10" ht="9.9499999999999993" customHeight="1">
      <c r="A71" s="121"/>
      <c r="B71" s="1268"/>
      <c r="C71" s="1296"/>
      <c r="D71" s="1296"/>
      <c r="E71" s="1297"/>
      <c r="F71" s="1235"/>
      <c r="G71" s="1235"/>
      <c r="H71" s="1235"/>
      <c r="I71" s="1295"/>
      <c r="J71" s="121"/>
    </row>
    <row r="72" spans="1:10" ht="24.95" customHeight="1">
      <c r="A72" s="121"/>
      <c r="B72" s="2117" t="s">
        <v>44</v>
      </c>
      <c r="C72" s="2118" t="str">
        <f>IF($C$70&gt;$G$70,$C$70-$G$70,"")</f>
        <v/>
      </c>
      <c r="D72" s="2118" t="str">
        <f>IF($D$70&gt;$H$70,$D$70-$H$70,"")</f>
        <v/>
      </c>
      <c r="E72" s="2119" t="str">
        <f>IF($E$70&gt;$I$70,$E$70-$I$70,"")</f>
        <v/>
      </c>
      <c r="F72" s="2117" t="s">
        <v>119</v>
      </c>
      <c r="G72" s="2120" t="str">
        <f>IF($G$70&gt;$C$70,$G$70-$C$70,"")</f>
        <v/>
      </c>
      <c r="H72" s="2120" t="str">
        <f>IF($H$70&gt;$D$70,$H$70-$D$70,"")</f>
        <v/>
      </c>
      <c r="I72" s="2121" t="str">
        <f>IF($I$70&gt;$E$70,$I$70-$E$70,"")</f>
        <v/>
      </c>
      <c r="J72" s="121"/>
    </row>
    <row r="73" spans="1:10" ht="15" customHeight="1">
      <c r="A73" s="121"/>
      <c r="B73" s="1248"/>
      <c r="C73" s="124"/>
      <c r="D73" s="124"/>
      <c r="E73" s="1239"/>
      <c r="F73" s="1235"/>
      <c r="G73" s="1235"/>
      <c r="H73" s="1235"/>
      <c r="I73" s="1234"/>
      <c r="J73" s="121"/>
    </row>
    <row r="74" spans="1:10" ht="17.25" customHeight="1">
      <c r="A74" s="121"/>
      <c r="B74" s="1237" t="s">
        <v>54</v>
      </c>
      <c r="C74" s="1238"/>
      <c r="D74" s="1238"/>
      <c r="E74" s="1239"/>
      <c r="F74" s="1240" t="s">
        <v>109</v>
      </c>
      <c r="G74" s="1240"/>
      <c r="H74" s="1240"/>
      <c r="I74" s="1234"/>
      <c r="J74" s="121"/>
    </row>
    <row r="75" spans="1:10" ht="15" customHeight="1">
      <c r="A75" s="121"/>
      <c r="B75" s="1242" t="s">
        <v>76</v>
      </c>
      <c r="C75" s="1197">
        <v>0</v>
      </c>
      <c r="D75" s="1197">
        <v>0</v>
      </c>
      <c r="E75" s="1198">
        <v>0</v>
      </c>
      <c r="F75" s="1256" t="s">
        <v>110</v>
      </c>
      <c r="G75" s="1197">
        <v>0</v>
      </c>
      <c r="H75" s="1197">
        <v>0</v>
      </c>
      <c r="I75" s="1199">
        <v>0</v>
      </c>
      <c r="J75" s="121"/>
    </row>
    <row r="76" spans="1:10" ht="15" customHeight="1">
      <c r="A76" s="121"/>
      <c r="B76" s="1243" t="s">
        <v>77</v>
      </c>
      <c r="C76" s="1200">
        <v>0</v>
      </c>
      <c r="D76" s="1200">
        <v>0</v>
      </c>
      <c r="E76" s="1201">
        <v>0</v>
      </c>
      <c r="F76" s="1257" t="s">
        <v>111</v>
      </c>
      <c r="G76" s="1200">
        <v>0</v>
      </c>
      <c r="H76" s="1200">
        <v>0</v>
      </c>
      <c r="I76" s="1202">
        <v>0</v>
      </c>
      <c r="J76" s="121"/>
    </row>
    <row r="77" spans="1:10" ht="15" customHeight="1">
      <c r="A77" s="121"/>
      <c r="B77" s="1243" t="s">
        <v>123</v>
      </c>
      <c r="C77" s="1200">
        <v>0</v>
      </c>
      <c r="D77" s="1200">
        <v>0</v>
      </c>
      <c r="E77" s="1201">
        <v>0</v>
      </c>
      <c r="F77" s="1257" t="s">
        <v>112</v>
      </c>
      <c r="G77" s="1200">
        <v>0</v>
      </c>
      <c r="H77" s="1200">
        <v>0</v>
      </c>
      <c r="I77" s="1202">
        <v>0</v>
      </c>
      <c r="J77" s="121"/>
    </row>
    <row r="78" spans="1:10" ht="15" customHeight="1">
      <c r="A78" s="121"/>
      <c r="B78" s="1243"/>
      <c r="C78" s="1283"/>
      <c r="D78" s="1283"/>
      <c r="E78" s="1284"/>
      <c r="F78" s="1257" t="s">
        <v>113</v>
      </c>
      <c r="G78" s="1200">
        <v>0</v>
      </c>
      <c r="H78" s="1200">
        <v>0</v>
      </c>
      <c r="I78" s="1202">
        <v>0</v>
      </c>
      <c r="J78" s="121"/>
    </row>
    <row r="79" spans="1:10" ht="15" customHeight="1">
      <c r="A79" s="121"/>
      <c r="B79" s="1243"/>
      <c r="C79" s="1283"/>
      <c r="D79" s="1283"/>
      <c r="E79" s="1284"/>
      <c r="F79" s="1257" t="s">
        <v>114</v>
      </c>
      <c r="G79" s="1200">
        <v>0</v>
      </c>
      <c r="H79" s="1200">
        <v>0</v>
      </c>
      <c r="I79" s="1202">
        <v>0</v>
      </c>
      <c r="J79" s="121"/>
    </row>
    <row r="80" spans="1:10" ht="15" customHeight="1">
      <c r="A80" s="121"/>
      <c r="B80" s="1243" t="s">
        <v>115</v>
      </c>
      <c r="C80" s="1200">
        <v>0</v>
      </c>
      <c r="D80" s="1200">
        <v>0</v>
      </c>
      <c r="E80" s="1201">
        <v>0</v>
      </c>
      <c r="F80" s="1257" t="s">
        <v>115</v>
      </c>
      <c r="G80" s="1200">
        <v>0</v>
      </c>
      <c r="H80" s="1200">
        <v>0</v>
      </c>
      <c r="I80" s="1202">
        <v>0</v>
      </c>
      <c r="J80" s="121"/>
    </row>
    <row r="81" spans="1:10" ht="9.9499999999999993" customHeight="1">
      <c r="A81" s="121"/>
      <c r="B81" s="1248"/>
      <c r="C81" s="124"/>
      <c r="D81" s="124"/>
      <c r="E81" s="1239"/>
      <c r="F81" s="1280"/>
      <c r="G81" s="1280"/>
      <c r="H81" s="1280"/>
      <c r="I81" s="1298"/>
      <c r="J81" s="121"/>
    </row>
    <row r="82" spans="1:10" ht="16.5" customHeight="1">
      <c r="A82" s="121"/>
      <c r="B82" s="2128" t="s">
        <v>121</v>
      </c>
      <c r="C82" s="2129">
        <f>$C$75+$C$76+$C$77+$C$80</f>
        <v>0</v>
      </c>
      <c r="D82" s="2129">
        <f>$D$75+$D$76+$D$77+$D$80</f>
        <v>0</v>
      </c>
      <c r="E82" s="2130">
        <f>$E$75+$E$76+$E$77+$E$80</f>
        <v>0</v>
      </c>
      <c r="F82" s="2131" t="s">
        <v>117</v>
      </c>
      <c r="G82" s="2132">
        <f>SUM($G$75:$G$80)</f>
        <v>0</v>
      </c>
      <c r="H82" s="2132">
        <f>SUM($H$75:$H$80)</f>
        <v>0</v>
      </c>
      <c r="I82" s="2134">
        <f>SUM($I$75:$I$80)</f>
        <v>0</v>
      </c>
      <c r="J82" s="121"/>
    </row>
    <row r="83" spans="1:10" ht="9.9499999999999993" customHeight="1">
      <c r="A83" s="121"/>
      <c r="B83" s="1248"/>
      <c r="C83" s="124"/>
      <c r="D83" s="124"/>
      <c r="E83" s="1239"/>
      <c r="F83" s="1281"/>
      <c r="G83" s="1281"/>
      <c r="H83" s="1281"/>
      <c r="I83" s="1299"/>
      <c r="J83" s="121"/>
    </row>
    <row r="84" spans="1:10" ht="24.95" customHeight="1">
      <c r="A84" s="121"/>
      <c r="B84" s="2117" t="s">
        <v>142</v>
      </c>
      <c r="C84" s="2118" t="str">
        <f>IF($C$82&gt;$G$82,$C$82-$G$82,"")</f>
        <v/>
      </c>
      <c r="D84" s="2118" t="str">
        <f>IF($D$82&gt;$H$82,$D$82-$H$82,"")</f>
        <v/>
      </c>
      <c r="E84" s="2119" t="str">
        <f>IF($E$82&gt;$I$82,$E$82-$I$82,"")</f>
        <v/>
      </c>
      <c r="F84" s="2117" t="s">
        <v>141</v>
      </c>
      <c r="G84" s="2120" t="str">
        <f>IF($G$82&gt;$C$82,$C$82-$G$82,"")</f>
        <v/>
      </c>
      <c r="H84" s="2120" t="str">
        <f>IF($H$82&gt;$D$82,$D$82-$H$82,"")</f>
        <v/>
      </c>
      <c r="I84" s="2121" t="str">
        <f>IF($I$82&gt;$E$82,$E$82-$I$82,"")</f>
        <v/>
      </c>
      <c r="J84" s="121"/>
    </row>
    <row r="85" spans="1:10" ht="15" customHeight="1">
      <c r="A85" s="121"/>
      <c r="B85" s="1248"/>
      <c r="C85" s="124"/>
      <c r="D85" s="124"/>
      <c r="E85" s="1239"/>
      <c r="F85" s="1235"/>
      <c r="G85" s="1235"/>
      <c r="H85" s="1235"/>
      <c r="I85" s="1234"/>
      <c r="J85" s="121"/>
    </row>
    <row r="86" spans="1:10" ht="17.25" customHeight="1">
      <c r="A86" s="121"/>
      <c r="B86" s="557" t="s">
        <v>122</v>
      </c>
      <c r="C86" s="126">
        <f>C37+C52+C82+C70</f>
        <v>0</v>
      </c>
      <c r="D86" s="126">
        <f>D82+D70+D52+D37</f>
        <v>0</v>
      </c>
      <c r="E86" s="127">
        <f>E37+E52+E70+E82</f>
        <v>0</v>
      </c>
      <c r="F86" s="123" t="s">
        <v>145</v>
      </c>
      <c r="G86" s="125">
        <f>G82+G70+G52+G37</f>
        <v>0</v>
      </c>
      <c r="H86" s="125">
        <f>H37+H52+H70+H82</f>
        <v>0</v>
      </c>
      <c r="I86" s="558">
        <f>I37+I52+I70+I82</f>
        <v>0</v>
      </c>
      <c r="J86" s="121"/>
    </row>
    <row r="87" spans="1:10" ht="15" customHeight="1">
      <c r="A87" s="121"/>
      <c r="B87" s="1248"/>
      <c r="C87" s="1233"/>
      <c r="D87" s="1233"/>
      <c r="E87" s="1300"/>
      <c r="F87" s="1235"/>
      <c r="G87" s="1235"/>
      <c r="H87" s="1235"/>
      <c r="I87" s="1234"/>
      <c r="J87" s="121"/>
    </row>
    <row r="88" spans="1:10" ht="15" customHeight="1" thickBot="1">
      <c r="A88" s="121"/>
      <c r="B88" s="1269" t="s">
        <v>120</v>
      </c>
      <c r="C88" s="1270">
        <f>IF(ABS(C86-G86)&lt;0.1,,C86-G86)</f>
        <v>0</v>
      </c>
      <c r="D88" s="1270">
        <f>IF(ABS(D86-H86)&lt;0.1,,D86-H86)</f>
        <v>0</v>
      </c>
      <c r="E88" s="1271">
        <f>IF(ABS(E86-I86)&lt;0.1,,E86-I86)</f>
        <v>0</v>
      </c>
      <c r="F88" s="1272" t="s">
        <v>120</v>
      </c>
      <c r="G88" s="1273">
        <f>IF(ABS(G86-C86)&lt;0.1,,G86-C86)</f>
        <v>0</v>
      </c>
      <c r="H88" s="1273">
        <f>IF(ABS(H86-D86)&lt;0.1,,H86-D86)</f>
        <v>0</v>
      </c>
      <c r="I88" s="1274">
        <f>IF(ABS(I86-E86)&lt;0.1,,I86-E86)</f>
        <v>0</v>
      </c>
      <c r="J88" s="121"/>
    </row>
    <row r="89" spans="1:10">
      <c r="A89" s="121"/>
      <c r="B89" s="121"/>
      <c r="C89" s="121"/>
      <c r="D89" s="121"/>
      <c r="E89" s="121"/>
      <c r="F89" s="165"/>
      <c r="G89" s="165"/>
      <c r="H89" s="165"/>
      <c r="I89" s="165"/>
      <c r="J89" s="165"/>
    </row>
    <row r="90" spans="1:10">
      <c r="A90" s="121"/>
      <c r="B90" s="121"/>
      <c r="C90" s="121"/>
      <c r="D90" s="121"/>
      <c r="E90" s="121"/>
      <c r="F90" s="1405"/>
      <c r="G90" s="1404"/>
      <c r="H90" s="165"/>
      <c r="I90" s="165"/>
      <c r="J90" s="165"/>
    </row>
    <row r="91" spans="1:10">
      <c r="A91" s="121"/>
      <c r="B91" s="121"/>
      <c r="C91" s="121"/>
      <c r="D91" s="121"/>
      <c r="E91" s="121"/>
      <c r="F91" s="1405"/>
      <c r="G91" s="1404"/>
      <c r="H91" s="165"/>
      <c r="I91" s="165"/>
      <c r="J91" s="165"/>
    </row>
    <row r="92" spans="1:10">
      <c r="A92" s="121"/>
      <c r="B92" s="1282"/>
      <c r="C92" s="121"/>
      <c r="D92" s="121"/>
      <c r="E92" s="121"/>
      <c r="F92" s="121"/>
      <c r="G92" s="121"/>
      <c r="H92" s="121"/>
      <c r="I92" s="121"/>
      <c r="J92" s="121"/>
    </row>
    <row r="95" spans="1:10">
      <c r="B95" s="1206"/>
    </row>
    <row r="96" spans="1:10">
      <c r="B96" s="1206"/>
    </row>
    <row r="97" spans="2:2">
      <c r="B97" s="1206"/>
    </row>
    <row r="98" spans="2:2">
      <c r="B98" s="1206"/>
    </row>
    <row r="99" spans="2:2">
      <c r="B99" s="1206"/>
    </row>
  </sheetData>
  <sheetProtection algorithmName="SHA-512" hashValue="uyNMQQm+z13jkuRTIhD5fkT4dY4uAQK9qH/+7xwf447u8ZL+5w4clRE9FoRpYN7Hhk48MCHbDzhumIfZqxEiyg==" saltValue="QYIw8hrgRskaVUe7A3xlwg==" spinCount="100000" sheet="1" objects="1" scenarios="1" selectLockedCells="1"/>
  <mergeCells count="4">
    <mergeCell ref="C2:F2"/>
    <mergeCell ref="G90:G91"/>
    <mergeCell ref="F90:F91"/>
    <mergeCell ref="B5:F14"/>
  </mergeCells>
  <dataValidations count="1">
    <dataValidation type="whole" allowBlank="1" showInputMessage="1" showErrorMessage="1" errorTitle="Format année" error="Renseignez seulement l'année concernée au format : AAAA." sqref="C17:E17">
      <formula1>2000</formula1>
      <formula2>2030</formula2>
    </dataValidation>
  </dataValidations>
  <printOptions horizontalCentered="1"/>
  <pageMargins left="0.25" right="0.25" top="0.75" bottom="0.75" header="0.3" footer="0.3"/>
  <pageSetup paperSize="9" scale="44" orientation="portrait"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J20"/>
  <sheetViews>
    <sheetView view="pageBreakPreview" zoomScaleNormal="100" zoomScaleSheetLayoutView="100" workbookViewId="0">
      <selection activeCell="H12" sqref="H12"/>
    </sheetView>
  </sheetViews>
  <sheetFormatPr baseColWidth="10" defaultRowHeight="14.25"/>
  <cols>
    <col min="1" max="1" width="5.7109375" style="128" customWidth="1"/>
    <col min="2" max="7" width="11.42578125" style="128"/>
    <col min="8" max="10" width="20.7109375" style="128" customWidth="1"/>
    <col min="11" max="11" width="5.7109375" style="128" customWidth="1"/>
    <col min="12" max="16384" width="11.42578125" style="128"/>
  </cols>
  <sheetData>
    <row r="2" spans="2:10" ht="18">
      <c r="B2" s="129"/>
      <c r="C2" s="129"/>
      <c r="D2" s="129"/>
      <c r="E2" s="2136" t="s">
        <v>7</v>
      </c>
      <c r="F2" s="2136"/>
      <c r="G2" s="2136"/>
      <c r="H2" s="2136"/>
    </row>
    <row r="4" spans="2:10" ht="14.25" customHeight="1">
      <c r="B4" s="1415" t="s">
        <v>606</v>
      </c>
      <c r="C4" s="1416"/>
      <c r="D4" s="1416"/>
      <c r="E4" s="1416"/>
      <c r="F4" s="1416"/>
      <c r="G4" s="1416"/>
      <c r="H4" s="1417"/>
    </row>
    <row r="5" spans="2:10">
      <c r="B5" s="1418"/>
      <c r="C5" s="1419"/>
      <c r="D5" s="1419"/>
      <c r="E5" s="1419"/>
      <c r="F5" s="1419"/>
      <c r="G5" s="1419"/>
      <c r="H5" s="1420"/>
    </row>
    <row r="6" spans="2:10">
      <c r="B6" s="1418"/>
      <c r="C6" s="1419"/>
      <c r="D6" s="1419"/>
      <c r="E6" s="1419"/>
      <c r="F6" s="1419"/>
      <c r="G6" s="1419"/>
      <c r="H6" s="1420"/>
    </row>
    <row r="7" spans="2:10" ht="20.100000000000001" customHeight="1">
      <c r="B7" s="1421"/>
      <c r="C7" s="1422"/>
      <c r="D7" s="1422"/>
      <c r="E7" s="1422"/>
      <c r="F7" s="1422"/>
      <c r="G7" s="1422"/>
      <c r="H7" s="1423"/>
    </row>
    <row r="8" spans="2:10" ht="20.100000000000001" customHeight="1"/>
    <row r="9" spans="2:10" ht="20.100000000000001" customHeight="1">
      <c r="H9" s="2137">
        <f>'Bilan financier'!$C$17</f>
        <v>2017</v>
      </c>
      <c r="I9" s="2137">
        <f>'Bilan financier'!$D$17</f>
        <v>2018</v>
      </c>
      <c r="J9" s="2137">
        <f>'Bilan financier'!$E$17</f>
        <v>2019</v>
      </c>
    </row>
    <row r="10" spans="2:10" ht="35.1" customHeight="1">
      <c r="B10" s="2138" t="s">
        <v>346</v>
      </c>
      <c r="C10" s="2139"/>
      <c r="D10" s="2139"/>
      <c r="E10" s="2139"/>
      <c r="F10" s="2139"/>
      <c r="G10" s="2140"/>
      <c r="H10" s="2141">
        <f>-'Bilan financier'!$C$44+'Bilan financier'!$G$43</f>
        <v>0</v>
      </c>
      <c r="I10" s="2141">
        <f>-'Bilan financier'!$D$44+'Bilan financier'!$H$43</f>
        <v>0</v>
      </c>
      <c r="J10" s="2141">
        <f>-'Bilan financier'!$E$44+'Bilan financier'!$I$43</f>
        <v>0</v>
      </c>
    </row>
    <row r="11" spans="2:10" ht="35.1" customHeight="1">
      <c r="B11" s="1425" t="s">
        <v>347</v>
      </c>
      <c r="C11" s="1425"/>
      <c r="D11" s="1425"/>
      <c r="E11" s="1425"/>
      <c r="F11" s="1425"/>
      <c r="G11" s="1425"/>
      <c r="H11" s="671">
        <v>0</v>
      </c>
      <c r="I11" s="672">
        <v>0</v>
      </c>
      <c r="J11" s="673">
        <v>0</v>
      </c>
    </row>
    <row r="12" spans="2:10" ht="35.1" customHeight="1">
      <c r="B12" s="1425" t="s">
        <v>348</v>
      </c>
      <c r="C12" s="1425"/>
      <c r="D12" s="1425"/>
      <c r="E12" s="1425"/>
      <c r="F12" s="1425"/>
      <c r="G12" s="1425"/>
      <c r="H12" s="674">
        <v>0</v>
      </c>
      <c r="I12" s="675">
        <v>0</v>
      </c>
      <c r="J12" s="676">
        <v>0</v>
      </c>
    </row>
    <row r="13" spans="2:10" ht="35.1" customHeight="1">
      <c r="B13" s="1425" t="s">
        <v>349</v>
      </c>
      <c r="C13" s="1426"/>
      <c r="D13" s="1426"/>
      <c r="E13" s="1426"/>
      <c r="F13" s="1426"/>
      <c r="G13" s="1426"/>
      <c r="H13" s="674">
        <v>0</v>
      </c>
      <c r="I13" s="675">
        <v>0</v>
      </c>
      <c r="J13" s="676">
        <v>0</v>
      </c>
    </row>
    <row r="14" spans="2:10" ht="35.1" customHeight="1">
      <c r="B14" s="1425" t="s">
        <v>350</v>
      </c>
      <c r="C14" s="1426"/>
      <c r="D14" s="1426"/>
      <c r="E14" s="1426"/>
      <c r="F14" s="1426"/>
      <c r="G14" s="1426"/>
      <c r="H14" s="674">
        <v>0</v>
      </c>
      <c r="I14" s="675">
        <v>0</v>
      </c>
      <c r="J14" s="676">
        <v>0</v>
      </c>
    </row>
    <row r="15" spans="2:10" ht="50.25" customHeight="1" thickBot="1">
      <c r="B15" s="1427" t="s">
        <v>623</v>
      </c>
      <c r="C15" s="1428"/>
      <c r="D15" s="1428"/>
      <c r="E15" s="1428"/>
      <c r="F15" s="1428"/>
      <c r="G15" s="1428"/>
      <c r="H15" s="677">
        <v>0</v>
      </c>
      <c r="I15" s="678">
        <v>0</v>
      </c>
      <c r="J15" s="679">
        <v>0</v>
      </c>
    </row>
    <row r="16" spans="2:10" ht="35.1" customHeight="1" thickBot="1">
      <c r="B16" s="2142" t="s">
        <v>351</v>
      </c>
      <c r="C16" s="2143"/>
      <c r="D16" s="2143"/>
      <c r="E16" s="2143"/>
      <c r="F16" s="2143"/>
      <c r="G16" s="2143"/>
      <c r="H16" s="2144">
        <f>$H$10+$H$11+$H$12-$H$13-$H$14-$H$15</f>
        <v>0</v>
      </c>
      <c r="I16" s="2144">
        <f>$I$10+$I$11+$I$12-$I$13-$I$14-$I$15</f>
        <v>0</v>
      </c>
      <c r="J16" s="2144">
        <f>$J$10+$J$11+$J$12-$J$13-$J$14-$J$15</f>
        <v>0</v>
      </c>
    </row>
    <row r="17" spans="2:10" ht="15" thickBot="1">
      <c r="B17" s="1424"/>
      <c r="C17" s="1424"/>
      <c r="D17" s="1424"/>
      <c r="E17" s="1424"/>
      <c r="F17" s="1218"/>
      <c r="G17" s="1218"/>
    </row>
    <row r="18" spans="2:10" ht="35.1" customHeight="1" thickBot="1">
      <c r="B18" s="2145" t="s">
        <v>2183</v>
      </c>
      <c r="C18" s="2145"/>
      <c r="D18" s="2145"/>
      <c r="E18" s="2145"/>
      <c r="F18" s="2145"/>
      <c r="G18" s="2145"/>
      <c r="H18" s="2146">
        <v>0</v>
      </c>
      <c r="I18" s="2146">
        <v>0</v>
      </c>
      <c r="J18" s="2146">
        <v>0</v>
      </c>
    </row>
    <row r="19" spans="2:10">
      <c r="B19" s="1218"/>
      <c r="C19" s="1218"/>
      <c r="D19" s="1218"/>
      <c r="E19" s="1218"/>
      <c r="F19" s="1218"/>
      <c r="G19" s="1218"/>
    </row>
    <row r="20" spans="2:10">
      <c r="B20" s="1424"/>
      <c r="C20" s="1424"/>
      <c r="D20" s="1424"/>
      <c r="E20" s="1424"/>
      <c r="F20" s="1218"/>
      <c r="G20" s="1218"/>
    </row>
  </sheetData>
  <sheetProtection algorithmName="SHA-512" hashValue="FnL2ha9rmuEcJZtvHrA+63vr+C/PWF+fbz3fboVkJsaOkvMj8adjwbzl6UUusirHB+xG8B12GuEl74SDCAGjVQ==" saltValue="QdaT/puiWnccxG8ggD9mHA==" spinCount="100000" sheet="1" objects="1" scenarios="1" selectLockedCells="1"/>
  <mergeCells count="12">
    <mergeCell ref="B4:H7"/>
    <mergeCell ref="E2:H2"/>
    <mergeCell ref="B16:G16"/>
    <mergeCell ref="B17:E17"/>
    <mergeCell ref="B20:E20"/>
    <mergeCell ref="B11:G11"/>
    <mergeCell ref="B10:G10"/>
    <mergeCell ref="B13:G13"/>
    <mergeCell ref="B14:G14"/>
    <mergeCell ref="B15:G15"/>
    <mergeCell ref="B12:G12"/>
    <mergeCell ref="B18:G18"/>
  </mergeCells>
  <conditionalFormatting sqref="H16:J16">
    <cfRule type="cellIs" dxfId="83" priority="1" operator="equal">
      <formula>0</formula>
    </cfRule>
    <cfRule type="cellIs" dxfId="82" priority="2" operator="lessThan">
      <formula>0</formula>
    </cfRule>
    <cfRule type="cellIs" dxfId="81" priority="3" operator="greaterThan">
      <formula>0</formula>
    </cfRule>
  </conditionalFormatting>
  <pageMargins left="0.7" right="0.7" top="0.75" bottom="0.75" header="0.3" footer="0.3"/>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sheetPr>
  <dimension ref="A1:R106"/>
  <sheetViews>
    <sheetView view="pageBreakPreview" zoomScaleNormal="100" zoomScaleSheetLayoutView="100" workbookViewId="0">
      <selection activeCell="G52" sqref="G52"/>
    </sheetView>
  </sheetViews>
  <sheetFormatPr baseColWidth="10" defaultRowHeight="14.25"/>
  <cols>
    <col min="1" max="1" width="5.7109375" style="1207" customWidth="1"/>
    <col min="2" max="6" width="11.42578125" style="1207"/>
    <col min="7" max="7" width="14.85546875" style="1207" bestFit="1" customWidth="1"/>
    <col min="8" max="8" width="14.42578125" style="1207" bestFit="1" customWidth="1"/>
    <col min="9" max="9" width="14" style="1207" bestFit="1" customWidth="1"/>
    <col min="10" max="10" width="7.7109375" style="128" customWidth="1"/>
    <col min="11" max="16384" width="11.42578125" style="128"/>
  </cols>
  <sheetData>
    <row r="1" spans="1:18">
      <c r="A1" s="128"/>
      <c r="B1" s="128"/>
      <c r="C1" s="128"/>
      <c r="D1" s="128"/>
      <c r="E1" s="128"/>
      <c r="F1" s="128"/>
      <c r="G1" s="128"/>
      <c r="H1" s="128"/>
      <c r="I1" s="128"/>
    </row>
    <row r="2" spans="1:18" ht="20.25">
      <c r="A2" s="128"/>
      <c r="B2" s="1302"/>
      <c r="C2" s="1302"/>
      <c r="D2" s="2147" t="s">
        <v>328</v>
      </c>
      <c r="E2" s="2147"/>
      <c r="F2" s="2147"/>
      <c r="G2" s="2147"/>
      <c r="H2" s="2147"/>
      <c r="I2" s="130"/>
    </row>
    <row r="3" spans="1:18">
      <c r="A3" s="128"/>
      <c r="B3" s="128"/>
      <c r="C3" s="128"/>
      <c r="D3" s="128"/>
      <c r="E3" s="128"/>
      <c r="F3" s="128"/>
      <c r="G3" s="130"/>
      <c r="H3" s="1220"/>
      <c r="I3" s="130"/>
    </row>
    <row r="4" spans="1:18" ht="14.25" customHeight="1">
      <c r="A4" s="128"/>
      <c r="B4" s="1431" t="s">
        <v>607</v>
      </c>
      <c r="C4" s="1432"/>
      <c r="D4" s="1432"/>
      <c r="E4" s="1432"/>
      <c r="F4" s="1432"/>
      <c r="G4" s="1432"/>
      <c r="H4" s="1432"/>
      <c r="I4" s="1433"/>
    </row>
    <row r="5" spans="1:18">
      <c r="A5" s="128"/>
      <c r="B5" s="1434"/>
      <c r="C5" s="1435"/>
      <c r="D5" s="1435"/>
      <c r="E5" s="1435"/>
      <c r="F5" s="1435"/>
      <c r="G5" s="1435"/>
      <c r="H5" s="1435"/>
      <c r="I5" s="1436"/>
    </row>
    <row r="6" spans="1:18" ht="20.100000000000001" customHeight="1">
      <c r="A6" s="128"/>
      <c r="B6" s="1434"/>
      <c r="C6" s="1435"/>
      <c r="D6" s="1435"/>
      <c r="E6" s="1435"/>
      <c r="F6" s="1435"/>
      <c r="G6" s="1435"/>
      <c r="H6" s="1435"/>
      <c r="I6" s="1436"/>
    </row>
    <row r="7" spans="1:18" ht="20.100000000000001" customHeight="1">
      <c r="A7" s="128"/>
      <c r="B7" s="1434"/>
      <c r="C7" s="1435"/>
      <c r="D7" s="1435"/>
      <c r="E7" s="1435"/>
      <c r="F7" s="1435"/>
      <c r="G7" s="1435"/>
      <c r="H7" s="1435"/>
      <c r="I7" s="1436"/>
    </row>
    <row r="8" spans="1:18" ht="20.100000000000001" customHeight="1">
      <c r="A8" s="128"/>
      <c r="B8" s="1434"/>
      <c r="C8" s="1435"/>
      <c r="D8" s="1435"/>
      <c r="E8" s="1435"/>
      <c r="F8" s="1435"/>
      <c r="G8" s="1435"/>
      <c r="H8" s="1435"/>
      <c r="I8" s="1436"/>
    </row>
    <row r="9" spans="1:18" ht="20.100000000000001" customHeight="1">
      <c r="A9" s="128"/>
      <c r="B9" s="1434"/>
      <c r="C9" s="1435"/>
      <c r="D9" s="1435"/>
      <c r="E9" s="1435"/>
      <c r="F9" s="1435"/>
      <c r="G9" s="1435"/>
      <c r="H9" s="1435"/>
      <c r="I9" s="1436"/>
    </row>
    <row r="10" spans="1:18" ht="24.95" customHeight="1">
      <c r="A10" s="128"/>
      <c r="B10" s="1437"/>
      <c r="C10" s="1438"/>
      <c r="D10" s="1438"/>
      <c r="E10" s="1438"/>
      <c r="F10" s="1438"/>
      <c r="G10" s="1438"/>
      <c r="H10" s="1438"/>
      <c r="I10" s="1439"/>
    </row>
    <row r="11" spans="1:18">
      <c r="A11" s="128"/>
      <c r="B11" s="128"/>
      <c r="C11" s="128"/>
      <c r="D11" s="128"/>
      <c r="E11" s="128"/>
      <c r="F11" s="128"/>
      <c r="G11" s="130"/>
      <c r="H11" s="1220"/>
      <c r="I11" s="130"/>
    </row>
    <row r="12" spans="1:18" ht="15.75">
      <c r="A12" s="128"/>
      <c r="B12" s="1442"/>
      <c r="C12" s="1442"/>
      <c r="D12" s="1442"/>
      <c r="E12" s="1442"/>
      <c r="F12" s="1442"/>
      <c r="G12" s="1303">
        <f>'Bilan financier'!$C$17</f>
        <v>2017</v>
      </c>
      <c r="H12" s="1303">
        <f>'Bilan financier'!$D$17</f>
        <v>2018</v>
      </c>
      <c r="I12" s="1303">
        <f>'Bilan financier'!$E$17</f>
        <v>2019</v>
      </c>
    </row>
    <row r="13" spans="1:18" ht="8.1" customHeight="1">
      <c r="A13" s="128"/>
      <c r="B13" s="1445"/>
      <c r="C13" s="1445"/>
      <c r="D13" s="1445"/>
      <c r="E13" s="1445"/>
      <c r="F13" s="1445"/>
      <c r="G13" s="1304"/>
      <c r="H13" s="1305"/>
      <c r="I13" s="1304"/>
    </row>
    <row r="14" spans="1:18">
      <c r="B14" s="1429" t="s">
        <v>576</v>
      </c>
      <c r="C14" s="1429"/>
      <c r="D14" s="1429"/>
      <c r="E14" s="1429"/>
      <c r="F14" s="1429"/>
      <c r="G14" s="1190">
        <v>0</v>
      </c>
      <c r="H14" s="627">
        <v>0</v>
      </c>
      <c r="I14" s="1190">
        <v>0</v>
      </c>
    </row>
    <row r="15" spans="1:18">
      <c r="B15" s="1446" t="s">
        <v>2184</v>
      </c>
      <c r="C15" s="1447"/>
      <c r="D15" s="1447"/>
      <c r="E15" s="1447"/>
      <c r="F15" s="1448"/>
      <c r="G15" s="1190">
        <v>0</v>
      </c>
      <c r="H15" s="627">
        <v>0</v>
      </c>
      <c r="I15" s="1190">
        <v>0</v>
      </c>
    </row>
    <row r="16" spans="1:18">
      <c r="B16" s="1443" t="s">
        <v>575</v>
      </c>
      <c r="C16" s="1440"/>
      <c r="D16" s="1440"/>
      <c r="E16" s="1440"/>
      <c r="F16" s="1444"/>
      <c r="G16" s="1190">
        <v>0</v>
      </c>
      <c r="H16" s="627">
        <v>0</v>
      </c>
      <c r="I16" s="1190">
        <v>0</v>
      </c>
      <c r="K16" s="130"/>
      <c r="L16" s="130"/>
      <c r="M16" s="130"/>
      <c r="N16" s="130"/>
      <c r="O16" s="130"/>
      <c r="P16" s="130"/>
      <c r="Q16" s="130"/>
      <c r="R16" s="130"/>
    </row>
    <row r="17" spans="1:18" ht="14.25" customHeight="1">
      <c r="B17" s="1429" t="s">
        <v>574</v>
      </c>
      <c r="C17" s="1429"/>
      <c r="D17" s="1429"/>
      <c r="E17" s="1429"/>
      <c r="F17" s="1429"/>
      <c r="G17" s="1190">
        <v>0</v>
      </c>
      <c r="H17" s="627">
        <v>0</v>
      </c>
      <c r="I17" s="1190">
        <v>0</v>
      </c>
      <c r="K17" s="1440"/>
      <c r="L17" s="1440"/>
      <c r="M17" s="1440"/>
      <c r="N17" s="1440"/>
      <c r="O17" s="1440"/>
      <c r="P17" s="130"/>
      <c r="Q17" s="130"/>
      <c r="R17" s="130"/>
    </row>
    <row r="18" spans="1:18">
      <c r="B18" s="1429" t="s">
        <v>573</v>
      </c>
      <c r="C18" s="1429"/>
      <c r="D18" s="1429"/>
      <c r="E18" s="1429"/>
      <c r="F18" s="1429"/>
      <c r="G18" s="1190">
        <v>0</v>
      </c>
      <c r="H18" s="627">
        <v>0</v>
      </c>
      <c r="I18" s="1190">
        <v>0</v>
      </c>
      <c r="K18" s="130"/>
      <c r="L18" s="130"/>
      <c r="M18" s="130"/>
      <c r="N18" s="130"/>
      <c r="O18" s="130"/>
      <c r="P18" s="130"/>
      <c r="Q18" s="130"/>
      <c r="R18" s="130"/>
    </row>
    <row r="19" spans="1:18" ht="8.1" customHeight="1">
      <c r="B19" s="1314"/>
      <c r="C19" s="1219"/>
      <c r="D19" s="1219"/>
      <c r="E19" s="1219"/>
      <c r="F19" s="1307"/>
      <c r="G19" s="1308"/>
      <c r="H19" s="1322"/>
      <c r="I19" s="1308"/>
      <c r="K19" s="130"/>
      <c r="L19" s="130"/>
      <c r="M19" s="130"/>
      <c r="N19" s="130"/>
      <c r="O19" s="130"/>
      <c r="P19" s="130"/>
      <c r="Q19" s="130"/>
      <c r="R19" s="130"/>
    </row>
    <row r="20" spans="1:18" ht="20.100000000000001" customHeight="1">
      <c r="A20" s="128"/>
      <c r="B20" s="2148" t="s">
        <v>572</v>
      </c>
      <c r="C20" s="2149"/>
      <c r="D20" s="2149"/>
      <c r="E20" s="2149"/>
      <c r="F20" s="2150"/>
      <c r="G20" s="2151">
        <f>$G$14+$G$16+$G$17+$G$18</f>
        <v>0</v>
      </c>
      <c r="H20" s="2151">
        <f>$H$14+$H$16+$H$17+$H$18</f>
        <v>0</v>
      </c>
      <c r="I20" s="2151">
        <f>$I$14+$I$16+$I$17+$I$18</f>
        <v>0</v>
      </c>
      <c r="K20" s="1440"/>
      <c r="L20" s="1441"/>
      <c r="M20" s="1441"/>
      <c r="N20" s="1441"/>
      <c r="O20" s="1441"/>
      <c r="P20" s="922"/>
      <c r="Q20" s="923"/>
      <c r="R20" s="924"/>
    </row>
    <row r="21" spans="1:18" ht="8.1" customHeight="1">
      <c r="B21" s="1315"/>
      <c r="C21" s="130"/>
      <c r="D21" s="130"/>
      <c r="E21" s="130"/>
      <c r="F21" s="130"/>
      <c r="G21" s="1323"/>
      <c r="H21" s="1324"/>
      <c r="I21" s="1324"/>
      <c r="K21" s="130"/>
      <c r="L21" s="130"/>
      <c r="M21" s="130"/>
      <c r="N21" s="130"/>
      <c r="O21" s="130"/>
      <c r="P21" s="130"/>
      <c r="Q21" s="130"/>
      <c r="R21" s="130"/>
    </row>
    <row r="22" spans="1:18">
      <c r="B22" s="1316" t="s">
        <v>691</v>
      </c>
      <c r="C22" s="1316"/>
      <c r="D22" s="1316"/>
      <c r="E22" s="1317"/>
      <c r="F22" s="1318"/>
      <c r="G22" s="1190">
        <v>0</v>
      </c>
      <c r="H22" s="1190">
        <v>0</v>
      </c>
      <c r="I22" s="1190">
        <v>0</v>
      </c>
      <c r="K22" s="925"/>
      <c r="L22" s="130"/>
      <c r="M22" s="130"/>
      <c r="N22" s="130"/>
      <c r="O22" s="130"/>
      <c r="P22" s="130"/>
      <c r="Q22" s="130"/>
      <c r="R22" s="130"/>
    </row>
    <row r="23" spans="1:18" ht="14.25" customHeight="1">
      <c r="B23" s="1429" t="s">
        <v>577</v>
      </c>
      <c r="C23" s="1429"/>
      <c r="D23" s="1429"/>
      <c r="E23" s="1429"/>
      <c r="F23" s="1429"/>
      <c r="G23" s="1190">
        <v>0</v>
      </c>
      <c r="H23" s="1190">
        <v>0</v>
      </c>
      <c r="I23" s="1190">
        <v>0</v>
      </c>
    </row>
    <row r="24" spans="1:18">
      <c r="B24" s="1449" t="s">
        <v>737</v>
      </c>
      <c r="C24" s="1449"/>
      <c r="D24" s="1449"/>
      <c r="E24" s="1449"/>
      <c r="F24" s="1449"/>
      <c r="G24" s="1190">
        <v>0</v>
      </c>
      <c r="H24" s="1190">
        <v>0</v>
      </c>
      <c r="I24" s="1190">
        <v>0</v>
      </c>
    </row>
    <row r="25" spans="1:18" ht="8.1" customHeight="1">
      <c r="B25" s="1317"/>
      <c r="C25" s="1191"/>
      <c r="D25" s="1191"/>
      <c r="E25" s="1191"/>
      <c r="F25" s="1318"/>
      <c r="G25" s="1308"/>
      <c r="H25" s="1322"/>
      <c r="I25" s="1308"/>
    </row>
    <row r="26" spans="1:18" ht="20.100000000000001" customHeight="1">
      <c r="A26" s="128"/>
      <c r="B26" s="2152" t="s">
        <v>578</v>
      </c>
      <c r="C26" s="2153"/>
      <c r="D26" s="2153"/>
      <c r="E26" s="2153"/>
      <c r="F26" s="2154"/>
      <c r="G26" s="2151">
        <f>SUM($G$22:$G$24)</f>
        <v>0</v>
      </c>
      <c r="H26" s="2151">
        <f>SUM($H$22:$H$24)</f>
        <v>0</v>
      </c>
      <c r="I26" s="2151">
        <f>SUM($I$22:$I$24)</f>
        <v>0</v>
      </c>
    </row>
    <row r="27" spans="1:18" ht="8.1" customHeight="1">
      <c r="B27" s="1317"/>
      <c r="C27" s="1191"/>
      <c r="D27" s="1191"/>
      <c r="E27" s="1191"/>
      <c r="F27" s="1318"/>
      <c r="G27" s="1308"/>
      <c r="H27" s="1322"/>
      <c r="I27" s="1308"/>
    </row>
    <row r="28" spans="1:18" ht="14.25" customHeight="1">
      <c r="B28" s="1451" t="s">
        <v>331</v>
      </c>
      <c r="C28" s="1452"/>
      <c r="D28" s="1452"/>
      <c r="E28" s="1452"/>
      <c r="F28" s="1453"/>
      <c r="G28" s="628">
        <v>0</v>
      </c>
      <c r="H28" s="627">
        <v>0</v>
      </c>
      <c r="I28" s="1190">
        <v>0</v>
      </c>
    </row>
    <row r="29" spans="1:18" ht="14.25" customHeight="1">
      <c r="B29" s="1450" t="s">
        <v>332</v>
      </c>
      <c r="C29" s="1429"/>
      <c r="D29" s="1429"/>
      <c r="E29" s="1429"/>
      <c r="F29" s="1429"/>
      <c r="G29" s="1190">
        <v>0</v>
      </c>
      <c r="H29" s="627">
        <v>0</v>
      </c>
      <c r="I29" s="1190">
        <v>0</v>
      </c>
      <c r="K29" s="926"/>
    </row>
    <row r="30" spans="1:18">
      <c r="B30" s="1450" t="s">
        <v>421</v>
      </c>
      <c r="C30" s="1429"/>
      <c r="D30" s="1429"/>
      <c r="E30" s="1429"/>
      <c r="F30" s="1429"/>
      <c r="G30" s="1430">
        <v>0</v>
      </c>
      <c r="H30" s="1430">
        <v>0</v>
      </c>
      <c r="I30" s="1430">
        <v>0</v>
      </c>
    </row>
    <row r="31" spans="1:18" ht="14.25" customHeight="1">
      <c r="B31" s="1429"/>
      <c r="C31" s="1429"/>
      <c r="D31" s="1429"/>
      <c r="E31" s="1429"/>
      <c r="F31" s="1429"/>
      <c r="G31" s="1430"/>
      <c r="H31" s="1430"/>
      <c r="I31" s="1430"/>
    </row>
    <row r="32" spans="1:18" ht="8.1" customHeight="1">
      <c r="B32" s="1429"/>
      <c r="C32" s="1429"/>
      <c r="D32" s="1429"/>
      <c r="E32" s="1429"/>
      <c r="F32" s="1429"/>
      <c r="G32" s="1308">
        <v>0</v>
      </c>
      <c r="H32" s="1325"/>
      <c r="I32" s="1325"/>
    </row>
    <row r="33" spans="1:9" ht="20.100000000000001" customHeight="1">
      <c r="A33" s="128"/>
      <c r="B33" s="2155" t="s">
        <v>329</v>
      </c>
      <c r="C33" s="2155"/>
      <c r="D33" s="2155"/>
      <c r="E33" s="2155"/>
      <c r="F33" s="2155"/>
      <c r="G33" s="2156">
        <f>($G$20+$G$28)-($G$26+$G$29+$G$30)</f>
        <v>0</v>
      </c>
      <c r="H33" s="2156">
        <f>($H$20+$H$28)-($H$26+$H$29+$H$30)</f>
        <v>0</v>
      </c>
      <c r="I33" s="2156">
        <f>($I$20+$I$28)-($I$26+$I$29+$I$30)</f>
        <v>0</v>
      </c>
    </row>
    <row r="34" spans="1:9" ht="9.9499999999999993" customHeight="1">
      <c r="B34" s="1306"/>
      <c r="C34" s="1219"/>
      <c r="D34" s="1219"/>
      <c r="E34" s="1219"/>
      <c r="F34" s="1307"/>
      <c r="G34" s="1308"/>
      <c r="H34" s="1325"/>
      <c r="I34" s="1325"/>
    </row>
    <row r="35" spans="1:9" ht="14.25" customHeight="1">
      <c r="B35" s="1450" t="s">
        <v>334</v>
      </c>
      <c r="C35" s="1429"/>
      <c r="D35" s="1429"/>
      <c r="E35" s="1429"/>
      <c r="F35" s="1429"/>
      <c r="G35" s="1190">
        <v>0</v>
      </c>
      <c r="H35" s="627">
        <v>0</v>
      </c>
      <c r="I35" s="627">
        <v>0</v>
      </c>
    </row>
    <row r="36" spans="1:9" ht="14.25" customHeight="1">
      <c r="B36" s="1450" t="s">
        <v>333</v>
      </c>
      <c r="C36" s="1429"/>
      <c r="D36" s="1429"/>
      <c r="E36" s="1429"/>
      <c r="F36" s="1429"/>
      <c r="G36" s="1454">
        <v>0</v>
      </c>
      <c r="H36" s="1454">
        <v>0</v>
      </c>
      <c r="I36" s="1454">
        <v>0</v>
      </c>
    </row>
    <row r="37" spans="1:9" ht="14.25" customHeight="1">
      <c r="B37" s="1429"/>
      <c r="C37" s="1429"/>
      <c r="D37" s="1429"/>
      <c r="E37" s="1429"/>
      <c r="F37" s="1429"/>
      <c r="G37" s="1454"/>
      <c r="H37" s="1454"/>
      <c r="I37" s="1454"/>
    </row>
    <row r="38" spans="1:9" ht="14.25" customHeight="1">
      <c r="B38" s="1450" t="s">
        <v>335</v>
      </c>
      <c r="C38" s="1429"/>
      <c r="D38" s="1429"/>
      <c r="E38" s="1429"/>
      <c r="F38" s="1429"/>
      <c r="G38" s="1454">
        <v>0</v>
      </c>
      <c r="H38" s="1454">
        <v>0</v>
      </c>
      <c r="I38" s="1430">
        <v>0</v>
      </c>
    </row>
    <row r="39" spans="1:9" ht="14.25" customHeight="1">
      <c r="B39" s="1429"/>
      <c r="C39" s="1429"/>
      <c r="D39" s="1429"/>
      <c r="E39" s="1429"/>
      <c r="F39" s="1429"/>
      <c r="G39" s="1454"/>
      <c r="H39" s="1454"/>
      <c r="I39" s="1430"/>
    </row>
    <row r="40" spans="1:9" ht="14.25" customHeight="1">
      <c r="B40" s="1450" t="s">
        <v>336</v>
      </c>
      <c r="C40" s="1429"/>
      <c r="D40" s="1429"/>
      <c r="E40" s="1429"/>
      <c r="F40" s="1429"/>
      <c r="G40" s="1190">
        <v>0</v>
      </c>
      <c r="H40" s="1190">
        <v>0</v>
      </c>
      <c r="I40" s="1190">
        <v>0</v>
      </c>
    </row>
    <row r="41" spans="1:9" ht="8.1" customHeight="1">
      <c r="B41" s="1306"/>
      <c r="C41" s="1219"/>
      <c r="D41" s="1219"/>
      <c r="E41" s="1219"/>
      <c r="F41" s="1307"/>
      <c r="G41" s="1325"/>
      <c r="H41" s="1325"/>
      <c r="I41" s="1325"/>
    </row>
    <row r="42" spans="1:9" ht="20.100000000000001" customHeight="1">
      <c r="A42" s="128"/>
      <c r="B42" s="2155" t="s">
        <v>225</v>
      </c>
      <c r="C42" s="2155"/>
      <c r="D42" s="2155"/>
      <c r="E42" s="2155"/>
      <c r="F42" s="2155"/>
      <c r="G42" s="2156">
        <f>$G$33+$G$35+$G$36-$G$38-$G$40</f>
        <v>0</v>
      </c>
      <c r="H42" s="2156">
        <f>$H$33+$H$35+$H$36-$H$38-$H$40</f>
        <v>0</v>
      </c>
      <c r="I42" s="2156">
        <f>$I$33+$I$35+$I$36-$I$38-$I$40</f>
        <v>0</v>
      </c>
    </row>
    <row r="43" spans="1:9" ht="9.9499999999999993" customHeight="1">
      <c r="B43" s="1319"/>
      <c r="C43" s="1320"/>
      <c r="D43" s="1320"/>
      <c r="E43" s="1320"/>
      <c r="F43" s="1321"/>
      <c r="G43" s="1308"/>
      <c r="H43" s="1308"/>
      <c r="I43" s="1308"/>
    </row>
    <row r="44" spans="1:9" ht="14.25" customHeight="1">
      <c r="B44" s="1450" t="s">
        <v>337</v>
      </c>
      <c r="C44" s="1429"/>
      <c r="D44" s="1429"/>
      <c r="E44" s="1429"/>
      <c r="F44" s="1429"/>
      <c r="G44" s="1190">
        <v>0</v>
      </c>
      <c r="H44" s="1190">
        <v>0</v>
      </c>
      <c r="I44" s="1190">
        <v>0</v>
      </c>
    </row>
    <row r="45" spans="1:9" ht="14.25" customHeight="1">
      <c r="B45" s="1450" t="s">
        <v>338</v>
      </c>
      <c r="C45" s="1429"/>
      <c r="D45" s="1429"/>
      <c r="E45" s="1429"/>
      <c r="F45" s="1429"/>
      <c r="G45" s="1190">
        <v>0</v>
      </c>
      <c r="H45" s="1190">
        <v>0</v>
      </c>
      <c r="I45" s="1190">
        <v>0</v>
      </c>
    </row>
    <row r="46" spans="1:9" ht="14.25" customHeight="1">
      <c r="B46" s="1450" t="s">
        <v>341</v>
      </c>
      <c r="C46" s="1429"/>
      <c r="D46" s="1429"/>
      <c r="E46" s="1429"/>
      <c r="F46" s="1429"/>
      <c r="G46" s="1190">
        <v>0</v>
      </c>
      <c r="H46" s="1190">
        <v>0</v>
      </c>
      <c r="I46" s="1190">
        <v>0</v>
      </c>
    </row>
    <row r="47" spans="1:9" ht="14.25" customHeight="1">
      <c r="B47" s="1450" t="s">
        <v>342</v>
      </c>
      <c r="C47" s="1429"/>
      <c r="D47" s="1429"/>
      <c r="E47" s="1429"/>
      <c r="F47" s="1429"/>
      <c r="G47" s="1454">
        <v>0</v>
      </c>
      <c r="H47" s="1454">
        <v>0</v>
      </c>
      <c r="I47" s="1454">
        <v>0</v>
      </c>
    </row>
    <row r="48" spans="1:9" ht="14.25" customHeight="1">
      <c r="B48" s="1429"/>
      <c r="C48" s="1429"/>
      <c r="D48" s="1429"/>
      <c r="E48" s="1429"/>
      <c r="F48" s="1429"/>
      <c r="G48" s="1454"/>
      <c r="H48" s="1454"/>
      <c r="I48" s="1454"/>
    </row>
    <row r="49" spans="1:9" ht="8.1" customHeight="1">
      <c r="A49" s="128"/>
      <c r="B49" s="1312"/>
      <c r="C49" s="1219"/>
      <c r="D49" s="1219"/>
      <c r="E49" s="1219"/>
      <c r="F49" s="1307"/>
      <c r="G49" s="1308"/>
      <c r="H49" s="1308"/>
      <c r="I49" s="1308"/>
    </row>
    <row r="50" spans="1:9" ht="20.100000000000001" customHeight="1">
      <c r="A50" s="128"/>
      <c r="B50" s="2155" t="s">
        <v>344</v>
      </c>
      <c r="C50" s="2157"/>
      <c r="D50" s="2157"/>
      <c r="E50" s="2157"/>
      <c r="F50" s="2157"/>
      <c r="G50" s="2156">
        <f>$G$42+$G$44+$G$45-$G$46-$G$47</f>
        <v>0</v>
      </c>
      <c r="H50" s="2156">
        <f>$H$42+$H$44+$H$45-$H$46-$H$47</f>
        <v>0</v>
      </c>
      <c r="I50" s="2156">
        <f>$I$42+$I$44+$I$45-$I$46-$I$47</f>
        <v>0</v>
      </c>
    </row>
    <row r="51" spans="1:9" ht="9.9499999999999993" customHeight="1">
      <c r="A51" s="128"/>
      <c r="B51" s="1312"/>
      <c r="C51" s="1219"/>
      <c r="D51" s="1219"/>
      <c r="E51" s="1219"/>
      <c r="F51" s="1307"/>
      <c r="G51" s="1313"/>
      <c r="H51" s="1313"/>
      <c r="I51" s="1313"/>
    </row>
    <row r="52" spans="1:9" ht="14.25" customHeight="1">
      <c r="A52" s="128"/>
      <c r="B52" s="1450" t="s">
        <v>339</v>
      </c>
      <c r="C52" s="1429"/>
      <c r="D52" s="1429"/>
      <c r="E52" s="1429"/>
      <c r="F52" s="1429"/>
      <c r="G52" s="1190">
        <v>0</v>
      </c>
      <c r="H52" s="1190">
        <v>0</v>
      </c>
      <c r="I52" s="1190">
        <v>0</v>
      </c>
    </row>
    <row r="53" spans="1:9" ht="14.25" customHeight="1">
      <c r="A53" s="128"/>
      <c r="B53" s="1450" t="s">
        <v>340</v>
      </c>
      <c r="C53" s="1429"/>
      <c r="D53" s="1429"/>
      <c r="E53" s="1429"/>
      <c r="F53" s="1429"/>
      <c r="G53" s="627">
        <v>0</v>
      </c>
      <c r="H53" s="627">
        <v>0</v>
      </c>
      <c r="I53" s="627">
        <v>0</v>
      </c>
    </row>
    <row r="54" spans="1:9" ht="14.25" customHeight="1">
      <c r="A54" s="128"/>
      <c r="B54" s="1455" t="s">
        <v>738</v>
      </c>
      <c r="C54" s="1440"/>
      <c r="D54" s="1440"/>
      <c r="E54" s="1440"/>
      <c r="F54" s="1444"/>
      <c r="G54" s="627">
        <v>0</v>
      </c>
      <c r="H54" s="627">
        <v>0</v>
      </c>
      <c r="I54" s="627">
        <v>0</v>
      </c>
    </row>
    <row r="55" spans="1:9" ht="14.25" customHeight="1">
      <c r="A55" s="128"/>
      <c r="B55" s="1450" t="s">
        <v>343</v>
      </c>
      <c r="C55" s="1429"/>
      <c r="D55" s="1429"/>
      <c r="E55" s="1429"/>
      <c r="F55" s="1429"/>
      <c r="G55" s="627">
        <v>0</v>
      </c>
      <c r="H55" s="627">
        <v>0</v>
      </c>
      <c r="I55" s="627">
        <v>0</v>
      </c>
    </row>
    <row r="56" spans="1:9">
      <c r="A56" s="128"/>
      <c r="B56" s="1450" t="s">
        <v>431</v>
      </c>
      <c r="C56" s="1429"/>
      <c r="D56" s="1429"/>
      <c r="E56" s="1429"/>
      <c r="F56" s="1429"/>
      <c r="G56" s="1454">
        <v>0</v>
      </c>
      <c r="H56" s="1454">
        <v>0</v>
      </c>
      <c r="I56" s="1454">
        <v>0</v>
      </c>
    </row>
    <row r="57" spans="1:9" ht="14.25" customHeight="1">
      <c r="A57" s="128"/>
      <c r="B57" s="1429"/>
      <c r="C57" s="1429"/>
      <c r="D57" s="1429"/>
      <c r="E57" s="1429"/>
      <c r="F57" s="1429"/>
      <c r="G57" s="1454"/>
      <c r="H57" s="1454"/>
      <c r="I57" s="1454"/>
    </row>
    <row r="58" spans="1:9" ht="8.1" customHeight="1">
      <c r="A58" s="128"/>
      <c r="B58" s="1306"/>
      <c r="C58" s="1219"/>
      <c r="D58" s="1219"/>
      <c r="E58" s="1219"/>
      <c r="F58" s="1307"/>
      <c r="G58" s="1308"/>
      <c r="H58" s="1308"/>
      <c r="I58" s="1308"/>
    </row>
    <row r="59" spans="1:9" ht="20.100000000000001" customHeight="1">
      <c r="A59" s="128"/>
      <c r="B59" s="2155" t="s">
        <v>345</v>
      </c>
      <c r="C59" s="2155"/>
      <c r="D59" s="2155"/>
      <c r="E59" s="2155"/>
      <c r="F59" s="2155"/>
      <c r="G59" s="2156">
        <f>($G$52+$G$53+$G$54)-($G$55+$G$56)</f>
        <v>0</v>
      </c>
      <c r="H59" s="2156">
        <f>($H$52+$H$53+$H$54)-($H$55+$H$56)</f>
        <v>0</v>
      </c>
      <c r="I59" s="2156">
        <f>($I$52+$I$53+$I$54)-($I$55+$I$56)</f>
        <v>0</v>
      </c>
    </row>
    <row r="60" spans="1:9" ht="9.9499999999999993" customHeight="1" thickBot="1">
      <c r="A60" s="128"/>
      <c r="B60" s="1309"/>
      <c r="C60" s="130"/>
      <c r="D60" s="130"/>
      <c r="E60" s="130"/>
      <c r="F60" s="1310"/>
      <c r="G60" s="1311"/>
      <c r="H60" s="1311"/>
      <c r="I60" s="1311"/>
    </row>
    <row r="61" spans="1:9" ht="20.100000000000001" customHeight="1" thickBot="1">
      <c r="A61" s="128"/>
      <c r="B61" s="1456" t="s">
        <v>330</v>
      </c>
      <c r="C61" s="1456"/>
      <c r="D61" s="1456"/>
      <c r="E61" s="1456"/>
      <c r="F61" s="1456"/>
      <c r="G61" s="131">
        <f>$G$50+$G$59</f>
        <v>0</v>
      </c>
      <c r="H61" s="131">
        <f>$H$50+$H$59</f>
        <v>0</v>
      </c>
      <c r="I61" s="131">
        <f>$I$50+$I$59</f>
        <v>0</v>
      </c>
    </row>
    <row r="62" spans="1:9" ht="14.25" customHeight="1">
      <c r="A62" s="128"/>
      <c r="B62" s="130"/>
      <c r="C62" s="130"/>
      <c r="D62" s="130"/>
      <c r="E62" s="130"/>
      <c r="F62" s="130"/>
      <c r="G62" s="130"/>
      <c r="H62" s="130"/>
      <c r="I62" s="130"/>
    </row>
    <row r="63" spans="1:9" ht="14.25" customHeight="1">
      <c r="A63" s="128"/>
      <c r="B63" s="130"/>
      <c r="C63" s="130"/>
      <c r="D63" s="130"/>
      <c r="E63" s="130"/>
      <c r="F63" s="130"/>
      <c r="G63" s="130"/>
      <c r="H63" s="130"/>
      <c r="I63" s="130"/>
    </row>
    <row r="64" spans="1:9" ht="14.25" customHeight="1">
      <c r="A64" s="128"/>
      <c r="B64" s="130"/>
      <c r="C64" s="130"/>
      <c r="D64" s="130"/>
      <c r="E64" s="130"/>
      <c r="F64" s="130"/>
      <c r="G64" s="130"/>
      <c r="H64" s="130"/>
      <c r="I64" s="130"/>
    </row>
    <row r="65" spans="1:9" ht="14.25" customHeight="1">
      <c r="A65" s="128"/>
      <c r="B65" s="130"/>
      <c r="C65" s="130"/>
      <c r="D65" s="130"/>
      <c r="E65" s="130"/>
      <c r="F65" s="130"/>
      <c r="G65" s="130"/>
      <c r="H65" s="130"/>
      <c r="I65" s="130"/>
    </row>
    <row r="66" spans="1:9">
      <c r="A66" s="128"/>
      <c r="B66" s="130"/>
      <c r="C66" s="130"/>
      <c r="D66" s="130"/>
      <c r="E66" s="130"/>
      <c r="F66" s="130"/>
      <c r="G66" s="130"/>
      <c r="H66" s="130"/>
      <c r="I66" s="130"/>
    </row>
    <row r="67" spans="1:9" ht="14.25" customHeight="1">
      <c r="B67" s="1208"/>
      <c r="C67" s="1208"/>
      <c r="D67" s="1208"/>
      <c r="E67" s="1208"/>
      <c r="F67" s="1208"/>
      <c r="G67" s="1208"/>
      <c r="H67" s="1208"/>
      <c r="I67" s="1208"/>
    </row>
    <row r="68" spans="1:9" ht="14.25" customHeight="1">
      <c r="B68" s="1208"/>
      <c r="C68" s="1208"/>
      <c r="D68" s="1208"/>
      <c r="E68" s="1208"/>
      <c r="F68" s="1208"/>
      <c r="G68" s="1208"/>
      <c r="H68" s="1208"/>
      <c r="I68" s="1208"/>
    </row>
    <row r="69" spans="1:9" ht="14.25" customHeight="1">
      <c r="B69" s="1208"/>
      <c r="C69" s="1208"/>
      <c r="D69" s="1208"/>
      <c r="E69" s="1208"/>
      <c r="F69" s="1208"/>
      <c r="G69" s="1208"/>
      <c r="H69" s="1208"/>
      <c r="I69" s="1208"/>
    </row>
    <row r="70" spans="1:9">
      <c r="B70" s="1208"/>
      <c r="C70" s="1208"/>
      <c r="D70" s="1208"/>
      <c r="E70" s="1208"/>
      <c r="F70" s="1208"/>
      <c r="G70" s="1208"/>
      <c r="H70" s="1208"/>
      <c r="I70" s="1208"/>
    </row>
    <row r="71" spans="1:9" ht="14.25" customHeight="1">
      <c r="B71" s="1208"/>
      <c r="C71" s="1208"/>
      <c r="D71" s="1208"/>
      <c r="E71" s="1208"/>
      <c r="F71" s="1208"/>
      <c r="G71" s="1208"/>
      <c r="H71" s="1208"/>
      <c r="I71" s="1208"/>
    </row>
    <row r="72" spans="1:9">
      <c r="B72" s="1208"/>
      <c r="C72" s="1208"/>
      <c r="D72" s="1208"/>
      <c r="E72" s="1208"/>
      <c r="F72" s="1208"/>
      <c r="G72" s="1208"/>
      <c r="H72" s="1208"/>
      <c r="I72" s="1208"/>
    </row>
    <row r="73" spans="1:9" ht="14.25" customHeight="1">
      <c r="B73" s="1208"/>
      <c r="C73" s="1208"/>
      <c r="D73" s="1208"/>
      <c r="E73" s="1208"/>
      <c r="F73" s="1208"/>
      <c r="G73" s="1208"/>
      <c r="H73" s="1208"/>
      <c r="I73" s="1208"/>
    </row>
    <row r="74" spans="1:9">
      <c r="B74" s="1208"/>
      <c r="C74" s="1208"/>
      <c r="D74" s="1208"/>
      <c r="E74" s="1208"/>
      <c r="F74" s="1208"/>
      <c r="G74" s="1208"/>
      <c r="H74" s="1208"/>
      <c r="I74" s="1208"/>
    </row>
    <row r="75" spans="1:9">
      <c r="A75" s="1208"/>
      <c r="B75" s="1208"/>
      <c r="C75" s="1208"/>
      <c r="D75" s="1208"/>
      <c r="E75" s="1208"/>
      <c r="F75" s="1208"/>
      <c r="G75" s="1208"/>
      <c r="H75" s="1208"/>
      <c r="I75" s="1208"/>
    </row>
    <row r="76" spans="1:9">
      <c r="A76" s="1208"/>
      <c r="B76" s="1208"/>
      <c r="C76" s="1208"/>
      <c r="D76" s="1208"/>
      <c r="E76" s="1208"/>
      <c r="F76" s="1208"/>
      <c r="G76" s="1208"/>
      <c r="H76" s="1208"/>
      <c r="I76" s="1208"/>
    </row>
    <row r="77" spans="1:9">
      <c r="A77" s="1208"/>
      <c r="B77" s="1208"/>
      <c r="C77" s="1208"/>
      <c r="D77" s="1208"/>
      <c r="E77" s="1208"/>
      <c r="F77" s="1208"/>
      <c r="G77" s="1208"/>
      <c r="H77" s="1208"/>
      <c r="I77" s="1208"/>
    </row>
    <row r="78" spans="1:9">
      <c r="A78" s="1208"/>
      <c r="B78" s="1208"/>
      <c r="C78" s="1208"/>
      <c r="D78" s="1208"/>
      <c r="E78" s="1208"/>
      <c r="F78" s="1208"/>
      <c r="G78" s="1208"/>
      <c r="H78" s="1208"/>
      <c r="I78" s="1208"/>
    </row>
    <row r="79" spans="1:9">
      <c r="A79" s="1208"/>
      <c r="B79" s="1208"/>
      <c r="C79" s="1208"/>
      <c r="D79" s="1208"/>
      <c r="E79" s="1208"/>
      <c r="F79" s="1208"/>
      <c r="G79" s="1208"/>
      <c r="H79" s="1208"/>
      <c r="I79" s="1208"/>
    </row>
    <row r="80" spans="1:9">
      <c r="A80" s="1208"/>
      <c r="B80" s="1208"/>
      <c r="C80" s="1208"/>
      <c r="D80" s="1208"/>
      <c r="E80" s="1208"/>
      <c r="F80" s="1208"/>
      <c r="G80" s="1208"/>
      <c r="H80" s="1208"/>
      <c r="I80" s="1208"/>
    </row>
    <row r="81" spans="1:9">
      <c r="A81" s="1208"/>
      <c r="B81" s="1208"/>
      <c r="C81" s="1208"/>
      <c r="D81" s="1208"/>
      <c r="E81" s="1208"/>
      <c r="F81" s="1208"/>
      <c r="G81" s="1208"/>
      <c r="H81" s="1208"/>
      <c r="I81" s="1208"/>
    </row>
    <row r="82" spans="1:9">
      <c r="A82" s="1208"/>
      <c r="B82" s="1208"/>
      <c r="C82" s="1208"/>
      <c r="D82" s="1208"/>
      <c r="E82" s="1208"/>
      <c r="F82" s="1208"/>
      <c r="G82" s="1208"/>
      <c r="H82" s="1208"/>
      <c r="I82" s="1208"/>
    </row>
    <row r="83" spans="1:9">
      <c r="A83" s="1208"/>
      <c r="B83" s="1208"/>
      <c r="C83" s="1208"/>
      <c r="D83" s="1208"/>
      <c r="E83" s="1208"/>
      <c r="F83" s="1208"/>
      <c r="G83" s="1208"/>
      <c r="H83" s="1208"/>
      <c r="I83" s="1208"/>
    </row>
    <row r="84" spans="1:9">
      <c r="A84" s="1208"/>
      <c r="B84" s="1208"/>
      <c r="C84" s="1208"/>
      <c r="D84" s="1208"/>
      <c r="E84" s="1208"/>
      <c r="F84" s="1208"/>
      <c r="G84" s="1208"/>
      <c r="H84" s="1208"/>
      <c r="I84" s="1208"/>
    </row>
    <row r="85" spans="1:9">
      <c r="A85" s="1208"/>
      <c r="B85" s="1208"/>
      <c r="C85" s="1208"/>
      <c r="D85" s="1208"/>
      <c r="E85" s="1208"/>
      <c r="F85" s="1208"/>
      <c r="G85" s="1208"/>
      <c r="H85" s="1208"/>
      <c r="I85" s="1208"/>
    </row>
    <row r="86" spans="1:9">
      <c r="A86" s="1208"/>
      <c r="B86" s="1208"/>
      <c r="C86" s="1208"/>
      <c r="D86" s="1208"/>
      <c r="E86" s="1208"/>
      <c r="F86" s="1208"/>
      <c r="G86" s="1208"/>
      <c r="H86" s="1208"/>
      <c r="I86" s="1208"/>
    </row>
    <row r="87" spans="1:9">
      <c r="A87" s="1208"/>
      <c r="B87" s="1208"/>
      <c r="C87" s="1208"/>
      <c r="D87" s="1208"/>
      <c r="E87" s="1208"/>
      <c r="F87" s="1208"/>
      <c r="G87" s="1208"/>
      <c r="H87" s="1208"/>
      <c r="I87" s="1208"/>
    </row>
    <row r="88" spans="1:9">
      <c r="A88" s="1208"/>
      <c r="B88" s="1208"/>
      <c r="C88" s="1208"/>
      <c r="D88" s="1208"/>
      <c r="E88" s="1208"/>
      <c r="F88" s="1208"/>
      <c r="G88" s="1208"/>
      <c r="H88" s="1208"/>
      <c r="I88" s="1208"/>
    </row>
    <row r="89" spans="1:9">
      <c r="A89" s="1208"/>
      <c r="B89" s="1208"/>
      <c r="C89" s="1208"/>
      <c r="D89" s="1208"/>
      <c r="E89" s="1208"/>
      <c r="F89" s="1208"/>
      <c r="G89" s="1208"/>
      <c r="H89" s="1208"/>
      <c r="I89" s="1208"/>
    </row>
    <row r="90" spans="1:9">
      <c r="A90" s="1208"/>
      <c r="B90" s="1208"/>
      <c r="C90" s="1208"/>
      <c r="D90" s="1208"/>
      <c r="E90" s="1208"/>
      <c r="F90" s="1208"/>
      <c r="G90" s="1208"/>
      <c r="H90" s="1208"/>
      <c r="I90" s="1208"/>
    </row>
    <row r="91" spans="1:9">
      <c r="A91" s="1208"/>
      <c r="B91" s="1208"/>
      <c r="C91" s="1208"/>
      <c r="D91" s="1208"/>
      <c r="E91" s="1208"/>
      <c r="F91" s="1208"/>
      <c r="G91" s="1208"/>
      <c r="H91" s="1208"/>
      <c r="I91" s="1208"/>
    </row>
    <row r="92" spans="1:9">
      <c r="A92" s="1208"/>
      <c r="B92" s="1208"/>
      <c r="C92" s="1208"/>
      <c r="D92" s="1208"/>
      <c r="E92" s="1208"/>
      <c r="F92" s="1208"/>
      <c r="G92" s="1208"/>
      <c r="H92" s="1208"/>
      <c r="I92" s="1208"/>
    </row>
    <row r="93" spans="1:9">
      <c r="G93" s="1208"/>
      <c r="H93" s="1208"/>
      <c r="I93" s="1208"/>
    </row>
    <row r="94" spans="1:9">
      <c r="G94" s="1208"/>
      <c r="H94" s="1208"/>
      <c r="I94" s="1208"/>
    </row>
    <row r="95" spans="1:9">
      <c r="G95" s="1208"/>
      <c r="H95" s="1208"/>
      <c r="I95" s="1208"/>
    </row>
    <row r="96" spans="1:9">
      <c r="G96" s="1208"/>
      <c r="H96" s="1208"/>
      <c r="I96" s="1208"/>
    </row>
    <row r="97" spans="7:9">
      <c r="G97" s="1208"/>
      <c r="H97" s="1208"/>
      <c r="I97" s="1208"/>
    </row>
    <row r="98" spans="7:9">
      <c r="G98" s="1208"/>
      <c r="H98" s="1208"/>
      <c r="I98" s="1208"/>
    </row>
    <row r="99" spans="7:9">
      <c r="G99" s="1208"/>
      <c r="H99" s="1208"/>
      <c r="I99" s="1208"/>
    </row>
    <row r="100" spans="7:9">
      <c r="G100" s="1208"/>
      <c r="H100" s="1208"/>
      <c r="I100" s="1208"/>
    </row>
    <row r="101" spans="7:9">
      <c r="G101" s="1208"/>
      <c r="H101" s="1208"/>
      <c r="I101" s="1208"/>
    </row>
    <row r="102" spans="7:9">
      <c r="G102" s="1208"/>
      <c r="H102" s="1208"/>
      <c r="I102" s="1208"/>
    </row>
    <row r="103" spans="7:9">
      <c r="G103" s="1208"/>
      <c r="H103" s="1208"/>
      <c r="I103" s="1208"/>
    </row>
    <row r="104" spans="7:9">
      <c r="G104" s="1208"/>
      <c r="H104" s="1208"/>
      <c r="I104" s="1208"/>
    </row>
    <row r="105" spans="7:9">
      <c r="G105" s="1208"/>
      <c r="H105" s="1208"/>
      <c r="I105" s="1208"/>
    </row>
    <row r="106" spans="7:9">
      <c r="G106" s="1209"/>
      <c r="H106" s="1209"/>
      <c r="I106" s="1209"/>
    </row>
  </sheetData>
  <sheetProtection algorithmName="SHA-512" hashValue="u2LNcFRltocWmqvO3VlzLD9hIRDkQoDeus5RR1QeDUuAlu4IGgZjPk8oqsh2fajbHDBMuRxqrH7joPlWrGhUYg==" saltValue="Iv/BnRNMyanDy8gqfipabQ==" spinCount="100000" sheet="1" objects="1" scenarios="1" selectLockedCells="1"/>
  <mergeCells count="52">
    <mergeCell ref="B59:F59"/>
    <mergeCell ref="B61:F61"/>
    <mergeCell ref="H38:H39"/>
    <mergeCell ref="B45:F45"/>
    <mergeCell ref="B40:F40"/>
    <mergeCell ref="B46:F46"/>
    <mergeCell ref="B42:F42"/>
    <mergeCell ref="B32:F32"/>
    <mergeCell ref="I56:I57"/>
    <mergeCell ref="B50:F50"/>
    <mergeCell ref="G47:G48"/>
    <mergeCell ref="H47:H48"/>
    <mergeCell ref="I47:I48"/>
    <mergeCell ref="B56:F57"/>
    <mergeCell ref="B53:F53"/>
    <mergeCell ref="H56:H57"/>
    <mergeCell ref="G56:G57"/>
    <mergeCell ref="B54:F54"/>
    <mergeCell ref="B35:F35"/>
    <mergeCell ref="B33:F33"/>
    <mergeCell ref="B55:F55"/>
    <mergeCell ref="B52:F52"/>
    <mergeCell ref="B47:F48"/>
    <mergeCell ref="I38:I39"/>
    <mergeCell ref="B44:F44"/>
    <mergeCell ref="G36:G37"/>
    <mergeCell ref="H36:H37"/>
    <mergeCell ref="I36:I37"/>
    <mergeCell ref="B38:F39"/>
    <mergeCell ref="B36:F37"/>
    <mergeCell ref="G38:G39"/>
    <mergeCell ref="B30:F31"/>
    <mergeCell ref="B18:F18"/>
    <mergeCell ref="B23:F23"/>
    <mergeCell ref="B26:F26"/>
    <mergeCell ref="B28:F28"/>
    <mergeCell ref="B14:F14"/>
    <mergeCell ref="G30:G31"/>
    <mergeCell ref="D2:H2"/>
    <mergeCell ref="B4:I10"/>
    <mergeCell ref="K17:O17"/>
    <mergeCell ref="B20:F20"/>
    <mergeCell ref="K20:O20"/>
    <mergeCell ref="B17:F17"/>
    <mergeCell ref="B12:F12"/>
    <mergeCell ref="B16:F16"/>
    <mergeCell ref="B13:F13"/>
    <mergeCell ref="H30:H31"/>
    <mergeCell ref="I30:I31"/>
    <mergeCell ref="B15:F15"/>
    <mergeCell ref="B24:F24"/>
    <mergeCell ref="B29:F29"/>
  </mergeCells>
  <conditionalFormatting sqref="G61:I61">
    <cfRule type="cellIs" dxfId="80" priority="1" operator="lessThan">
      <formula>0</formula>
    </cfRule>
    <cfRule type="cellIs" dxfId="79" priority="2" operator="greaterThan">
      <formula>0</formula>
    </cfRule>
  </conditionalFormatting>
  <pageMargins left="0.7" right="0.7" top="0.75" bottom="0.75" header="0.3" footer="0.3"/>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theme="3"/>
  </sheetPr>
  <dimension ref="A1:AS540"/>
  <sheetViews>
    <sheetView view="pageBreakPreview" topLeftCell="B1" zoomScaleNormal="90" zoomScaleSheetLayoutView="100" workbookViewId="0">
      <selection activeCell="O219" sqref="O219"/>
    </sheetView>
  </sheetViews>
  <sheetFormatPr baseColWidth="10" defaultRowHeight="16.5"/>
  <cols>
    <col min="1" max="1" width="45.140625" style="133" hidden="1" customWidth="1"/>
    <col min="2" max="2" width="5.7109375" style="133" customWidth="1"/>
    <col min="3" max="3" width="20" style="151" bestFit="1" customWidth="1"/>
    <col min="4" max="4" width="11.5703125" style="151" bestFit="1" customWidth="1"/>
    <col min="5" max="5" width="13.7109375" style="151" bestFit="1" customWidth="1"/>
    <col min="6" max="6" width="3.28515625" style="151" customWidth="1"/>
    <col min="7" max="7" width="17.140625" style="151" bestFit="1" customWidth="1"/>
    <col min="8" max="8" width="3.28515625" style="151" customWidth="1"/>
    <col min="9" max="9" width="17.140625" style="151" bestFit="1" customWidth="1"/>
    <col min="10" max="10" width="3.28515625" style="151" customWidth="1"/>
    <col min="11" max="12" width="11.42578125" style="151"/>
    <col min="13" max="13" width="5.7109375" style="133" customWidth="1"/>
    <col min="14" max="45" width="11.42578125" style="133"/>
    <col min="46" max="16384" width="11.42578125" style="151"/>
  </cols>
  <sheetData>
    <row r="1" spans="3:12" ht="17.25" thickBot="1">
      <c r="C1" s="133"/>
      <c r="D1" s="133"/>
      <c r="E1" s="133"/>
      <c r="F1" s="133"/>
      <c r="G1" s="133"/>
      <c r="H1" s="133"/>
      <c r="I1" s="133"/>
      <c r="J1" s="133"/>
      <c r="K1" s="133"/>
      <c r="L1" s="133"/>
    </row>
    <row r="2" spans="3:12">
      <c r="C2" s="134" t="s">
        <v>608</v>
      </c>
      <c r="D2" s="1462" t="s">
        <v>382</v>
      </c>
      <c r="E2" s="1463"/>
      <c r="F2" s="1463"/>
      <c r="G2" s="1463"/>
      <c r="H2" s="1463"/>
      <c r="I2" s="1463"/>
      <c r="J2" s="1463"/>
      <c r="K2" s="1463"/>
      <c r="L2" s="1464"/>
    </row>
    <row r="3" spans="3:12">
      <c r="C3" s="135" t="s">
        <v>206</v>
      </c>
      <c r="D3" s="1471" t="s">
        <v>198</v>
      </c>
      <c r="E3" s="1472"/>
      <c r="F3" s="1472"/>
      <c r="G3" s="1472"/>
      <c r="H3" s="1472"/>
      <c r="I3" s="1472"/>
      <c r="J3" s="1472"/>
      <c r="K3" s="1472"/>
      <c r="L3" s="1473"/>
    </row>
    <row r="4" spans="3:12">
      <c r="C4" s="136" t="s">
        <v>147</v>
      </c>
      <c r="D4" s="1517" t="s">
        <v>609</v>
      </c>
      <c r="E4" s="1518"/>
      <c r="F4" s="1518"/>
      <c r="G4" s="1518"/>
      <c r="H4" s="1518"/>
      <c r="I4" s="1518"/>
      <c r="J4" s="1518"/>
      <c r="K4" s="1518"/>
      <c r="L4" s="1519"/>
    </row>
    <row r="5" spans="3:12">
      <c r="C5" s="137" t="s">
        <v>220</v>
      </c>
      <c r="D5" s="1520" t="s">
        <v>222</v>
      </c>
      <c r="E5" s="1520"/>
      <c r="F5" s="1520"/>
      <c r="G5" s="1520"/>
      <c r="H5" s="1520"/>
      <c r="I5" s="1520"/>
      <c r="J5" s="1520"/>
      <c r="K5" s="1520"/>
      <c r="L5" s="1521"/>
    </row>
    <row r="6" spans="3:12" ht="5.0999999999999996" customHeight="1">
      <c r="C6" s="138"/>
      <c r="D6" s="139"/>
      <c r="E6" s="139"/>
      <c r="F6" s="139"/>
      <c r="G6" s="139"/>
      <c r="H6" s="139"/>
      <c r="I6" s="139"/>
      <c r="J6" s="139"/>
      <c r="K6" s="139"/>
      <c r="L6" s="140"/>
    </row>
    <row r="7" spans="3:12">
      <c r="C7" s="141"/>
      <c r="D7" s="142"/>
      <c r="E7" s="1458">
        <f>'Bilan financier'!$C$17</f>
        <v>2017</v>
      </c>
      <c r="F7" s="1459"/>
      <c r="G7" s="1458">
        <f>'Bilan financier'!$D$17</f>
        <v>2018</v>
      </c>
      <c r="H7" s="1459"/>
      <c r="I7" s="1457">
        <f>'Bilan financier'!$E$17</f>
        <v>2019</v>
      </c>
      <c r="J7" s="1457"/>
      <c r="K7" s="143"/>
      <c r="L7" s="144"/>
    </row>
    <row r="8" spans="3:12" ht="5.0999999999999996" customHeight="1">
      <c r="C8" s="141"/>
      <c r="D8" s="876"/>
      <c r="E8" s="876"/>
      <c r="F8" s="876"/>
      <c r="G8" s="876"/>
      <c r="H8" s="876"/>
      <c r="I8" s="876"/>
      <c r="J8" s="876"/>
      <c r="K8" s="143"/>
      <c r="L8" s="144"/>
    </row>
    <row r="9" spans="3:12" ht="27.95" customHeight="1">
      <c r="C9" s="1524" t="s">
        <v>511</v>
      </c>
      <c r="D9" s="1525"/>
      <c r="E9" s="1510" t="e">
        <f>('Bilan financier'!$G$20+'Bilan financier'!$G$21+'Bilan financier'!$G$22+'Bilan financier'!$G$23+'Bilan financier'!$G$24+'Bilan financier'!$G$25+'Bilan financier'!$G$26+'Bilan financier'!$G$27+'Bilan financier'!$G$28+'Bilan financier'!$G$33+'Bilan financier'!$G$34+'Bilan financier'!$G$35)/('Bilan financier'!$C$20+'Bilan financier'!$C$22+'Bilan financier'!$C$28+'Bilan financier'!$C$29+'Bilan financier'!$C$31+'Bilan financier'!$C$32+'Bilan financier'!$C$33+'Bilan financier'!$C$35)</f>
        <v>#DIV/0!</v>
      </c>
      <c r="F9" s="1511"/>
      <c r="G9" s="1510" t="e">
        <f>('Bilan financier'!$H$20+'Bilan financier'!$H$21+'Bilan financier'!$H$22+'Bilan financier'!$H$23+'Bilan financier'!$H$24+'Bilan financier'!$H$25+'Bilan financier'!$H$26+'Bilan financier'!$H$27+'Bilan financier'!$H$28+'Bilan financier'!$H$33+'Bilan financier'!$H$34+'Bilan financier'!$H$35)/('Bilan financier'!$D$20+'Bilan financier'!$D$22+'Bilan financier'!$D$28+'Bilan financier'!$D$29+'Bilan financier'!$D$31+'Bilan financier'!$D$32+'Bilan financier'!$D$33+'Bilan financier'!$D$35)</f>
        <v>#DIV/0!</v>
      </c>
      <c r="H9" s="1511"/>
      <c r="I9" s="1510" t="e">
        <f>('Bilan financier'!$I$20+'Bilan financier'!$I$21+'Bilan financier'!$I$22+'Bilan financier'!$I$23+'Bilan financier'!$I$24+'Bilan financier'!$I$25+'Bilan financier'!$I$26+'Bilan financier'!$I$27+'Bilan financier'!$I$28+'Bilan financier'!$I$33+'Bilan financier'!$I$34+'Bilan financier'!$I$35)/('Bilan financier'!$E$20+'Bilan financier'!$E$22+'Bilan financier'!$E$28+'Bilan financier'!$E$29+'Bilan financier'!$E$31+'Bilan financier'!$E$32+'Bilan financier'!$E$33+'Bilan financier'!$E$35)</f>
        <v>#DIV/0!</v>
      </c>
      <c r="J9" s="1511"/>
      <c r="K9" s="145"/>
      <c r="L9" s="146"/>
    </row>
    <row r="10" spans="3:12" ht="27.95" customHeight="1">
      <c r="C10" s="858" t="s">
        <v>512</v>
      </c>
      <c r="D10" s="588"/>
      <c r="E10" s="1526" t="str">
        <f>IF('Bilan financier'!$C$38&gt;0,'Bilan financier'!$G$38,'Bilan financier'!$C$38)</f>
        <v/>
      </c>
      <c r="F10" s="1527"/>
      <c r="G10" s="1526" t="str">
        <f>IF('Bilan financier'!$D$38&gt;0,'Bilan financier'!$H$38,'Bilan financier'!$D$38)</f>
        <v/>
      </c>
      <c r="H10" s="1527"/>
      <c r="I10" s="1526" t="str">
        <f>IF('Bilan financier'!$E$38&gt;0,'Bilan financier'!$I$38,'Bilan financier'!$E$38)</f>
        <v/>
      </c>
      <c r="J10" s="1528"/>
      <c r="K10" s="145"/>
      <c r="L10" s="146"/>
    </row>
    <row r="11" spans="3:12" ht="17.25" thickBot="1">
      <c r="C11" s="147"/>
      <c r="D11" s="148"/>
      <c r="E11" s="148"/>
      <c r="F11" s="148"/>
      <c r="G11" s="148"/>
      <c r="H11" s="148"/>
      <c r="I11" s="148"/>
      <c r="J11" s="148"/>
      <c r="K11" s="149"/>
      <c r="L11" s="150"/>
    </row>
    <row r="12" spans="3:12" ht="17.25" thickBot="1">
      <c r="C12" s="159"/>
      <c r="D12" s="160"/>
      <c r="E12" s="160"/>
      <c r="F12" s="160"/>
      <c r="G12" s="160"/>
      <c r="H12" s="160"/>
      <c r="I12" s="160"/>
      <c r="J12" s="160"/>
      <c r="K12" s="887"/>
      <c r="L12" s="145"/>
    </row>
    <row r="13" spans="3:12">
      <c r="C13" s="134" t="s">
        <v>608</v>
      </c>
      <c r="D13" s="1462" t="s">
        <v>382</v>
      </c>
      <c r="E13" s="1463"/>
      <c r="F13" s="1463"/>
      <c r="G13" s="1463"/>
      <c r="H13" s="1463"/>
      <c r="I13" s="1463"/>
      <c r="J13" s="1463"/>
      <c r="K13" s="1463"/>
      <c r="L13" s="1464"/>
    </row>
    <row r="14" spans="3:12">
      <c r="C14" s="135" t="s">
        <v>206</v>
      </c>
      <c r="D14" s="1471" t="s">
        <v>198</v>
      </c>
      <c r="E14" s="1472"/>
      <c r="F14" s="1472"/>
      <c r="G14" s="1472"/>
      <c r="H14" s="1472"/>
      <c r="I14" s="1472"/>
      <c r="J14" s="1472"/>
      <c r="K14" s="1472"/>
      <c r="L14" s="1473"/>
    </row>
    <row r="15" spans="3:12">
      <c r="C15" s="136" t="s">
        <v>147</v>
      </c>
      <c r="D15" s="1517" t="s">
        <v>629</v>
      </c>
      <c r="E15" s="1518"/>
      <c r="F15" s="1518"/>
      <c r="G15" s="1518"/>
      <c r="H15" s="1518"/>
      <c r="I15" s="1518"/>
      <c r="J15" s="1518"/>
      <c r="K15" s="1518"/>
      <c r="L15" s="1519"/>
    </row>
    <row r="16" spans="3:12">
      <c r="C16" s="137" t="s">
        <v>220</v>
      </c>
      <c r="D16" s="1520" t="s">
        <v>222</v>
      </c>
      <c r="E16" s="1520"/>
      <c r="F16" s="1520"/>
      <c r="G16" s="1520"/>
      <c r="H16" s="1520"/>
      <c r="I16" s="1520"/>
      <c r="J16" s="1520"/>
      <c r="K16" s="1520"/>
      <c r="L16" s="1521"/>
    </row>
    <row r="17" spans="1:12" ht="5.0999999999999996" customHeight="1">
      <c r="C17" s="138"/>
      <c r="D17" s="139"/>
      <c r="E17" s="139"/>
      <c r="F17" s="139"/>
      <c r="G17" s="139"/>
      <c r="H17" s="139"/>
      <c r="I17" s="139"/>
      <c r="J17" s="139"/>
      <c r="K17" s="139"/>
      <c r="L17" s="140"/>
    </row>
    <row r="18" spans="1:12">
      <c r="C18" s="141"/>
      <c r="D18" s="142"/>
      <c r="E18" s="1458">
        <f>'Bilan financier'!$C$17</f>
        <v>2017</v>
      </c>
      <c r="F18" s="1459"/>
      <c r="G18" s="1458">
        <f>'Bilan financier'!$D$17</f>
        <v>2018</v>
      </c>
      <c r="H18" s="1459"/>
      <c r="I18" s="1457">
        <f>'Bilan financier'!$E$17</f>
        <v>2019</v>
      </c>
      <c r="J18" s="1457"/>
      <c r="K18" s="143"/>
      <c r="L18" s="144"/>
    </row>
    <row r="19" spans="1:12" ht="5.0999999999999996" customHeight="1">
      <c r="C19" s="141"/>
      <c r="D19" s="876"/>
      <c r="E19" s="876"/>
      <c r="F19" s="876"/>
      <c r="G19" s="876"/>
      <c r="H19" s="876"/>
      <c r="I19" s="876"/>
      <c r="J19" s="876"/>
      <c r="K19" s="143"/>
      <c r="L19" s="144"/>
    </row>
    <row r="20" spans="1:12" ht="27.95" customHeight="1">
      <c r="C20" s="1524" t="s">
        <v>629</v>
      </c>
      <c r="D20" s="1525"/>
      <c r="E20" s="1510" t="e">
        <f>$E$10/('Bilan financier'!$C$20+'Bilan financier'!$C$24+'Bilan financier'!$C$25+'Bilan financier'!$C$26)</f>
        <v>#VALUE!</v>
      </c>
      <c r="F20" s="1511"/>
      <c r="G20" s="1510" t="e">
        <f>G10/('Bilan financier'!$D$20+'Bilan financier'!$D$24+'Bilan financier'!$D$25+'Bilan financier'!$D$26)</f>
        <v>#VALUE!</v>
      </c>
      <c r="H20" s="1511"/>
      <c r="I20" s="1510" t="e">
        <f>$I$10/('Bilan financier'!$E$20+'Bilan financier'!$E$24+'Bilan financier'!$E$25+'Bilan financier'!$E$26)</f>
        <v>#VALUE!</v>
      </c>
      <c r="J20" s="1511"/>
      <c r="K20" s="145"/>
      <c r="L20" s="146"/>
    </row>
    <row r="21" spans="1:12" ht="17.25" thickBot="1">
      <c r="C21" s="147"/>
      <c r="D21" s="148"/>
      <c r="E21" s="148"/>
      <c r="F21" s="148"/>
      <c r="G21" s="148"/>
      <c r="H21" s="148"/>
      <c r="I21" s="148"/>
      <c r="J21" s="148"/>
      <c r="K21" s="149"/>
      <c r="L21" s="150"/>
    </row>
    <row r="22" spans="1:12" ht="17.25" thickBot="1">
      <c r="C22" s="133"/>
      <c r="D22" s="133"/>
      <c r="E22" s="133"/>
      <c r="F22" s="133"/>
      <c r="G22" s="133"/>
      <c r="H22" s="133"/>
      <c r="I22" s="133"/>
      <c r="J22" s="133"/>
      <c r="K22" s="133"/>
      <c r="L22" s="133"/>
    </row>
    <row r="23" spans="1:12">
      <c r="C23" s="134" t="s">
        <v>608</v>
      </c>
      <c r="D23" s="1462" t="s">
        <v>382</v>
      </c>
      <c r="E23" s="1463"/>
      <c r="F23" s="1463"/>
      <c r="G23" s="1463"/>
      <c r="H23" s="1463"/>
      <c r="I23" s="1463"/>
      <c r="J23" s="1463"/>
      <c r="K23" s="1463"/>
      <c r="L23" s="1464"/>
    </row>
    <row r="24" spans="1:12">
      <c r="C24" s="135" t="s">
        <v>206</v>
      </c>
      <c r="D24" s="1471" t="s">
        <v>198</v>
      </c>
      <c r="E24" s="1472"/>
      <c r="F24" s="1472"/>
      <c r="G24" s="1472"/>
      <c r="H24" s="1472"/>
      <c r="I24" s="1472"/>
      <c r="J24" s="1472"/>
      <c r="K24" s="1472"/>
      <c r="L24" s="1473"/>
    </row>
    <row r="25" spans="1:12">
      <c r="C25" s="136" t="s">
        <v>147</v>
      </c>
      <c r="D25" s="1517" t="s">
        <v>610</v>
      </c>
      <c r="E25" s="1518"/>
      <c r="F25" s="1518"/>
      <c r="G25" s="1518"/>
      <c r="H25" s="1518"/>
      <c r="I25" s="1518"/>
      <c r="J25" s="1518"/>
      <c r="K25" s="1518"/>
      <c r="L25" s="1519"/>
    </row>
    <row r="26" spans="1:12">
      <c r="C26" s="137" t="s">
        <v>220</v>
      </c>
      <c r="D26" s="1520" t="s">
        <v>222</v>
      </c>
      <c r="E26" s="1520"/>
      <c r="F26" s="1520"/>
      <c r="G26" s="1520"/>
      <c r="H26" s="1520"/>
      <c r="I26" s="1520"/>
      <c r="J26" s="1520"/>
      <c r="K26" s="1520"/>
      <c r="L26" s="1521"/>
    </row>
    <row r="27" spans="1:12" ht="5.0999999999999996" customHeight="1">
      <c r="C27" s="138"/>
      <c r="D27" s="139"/>
      <c r="E27" s="139"/>
      <c r="F27" s="139"/>
      <c r="G27" s="139"/>
      <c r="H27" s="139"/>
      <c r="I27" s="139"/>
      <c r="J27" s="139"/>
      <c r="K27" s="139"/>
      <c r="L27" s="140"/>
    </row>
    <row r="28" spans="1:12">
      <c r="C28" s="141"/>
      <c r="D28" s="142"/>
      <c r="E28" s="1458">
        <f>'Bilan financier'!$C$17</f>
        <v>2017</v>
      </c>
      <c r="F28" s="1459"/>
      <c r="G28" s="1458">
        <f>'Bilan financier'!$D$17</f>
        <v>2018</v>
      </c>
      <c r="H28" s="1459"/>
      <c r="I28" s="1457">
        <f>'Bilan financier'!$E$17</f>
        <v>2019</v>
      </c>
      <c r="J28" s="1457"/>
      <c r="K28" s="143"/>
      <c r="L28" s="144"/>
    </row>
    <row r="29" spans="1:12" ht="5.0999999999999996" customHeight="1">
      <c r="C29" s="141"/>
      <c r="D29" s="876"/>
      <c r="E29" s="876"/>
      <c r="F29" s="876"/>
      <c r="G29" s="876"/>
      <c r="H29" s="876"/>
      <c r="I29" s="876"/>
      <c r="J29" s="876"/>
      <c r="K29" s="143"/>
      <c r="L29" s="144"/>
    </row>
    <row r="30" spans="1:12" ht="27.95" customHeight="1">
      <c r="C30" s="858" t="s">
        <v>515</v>
      </c>
      <c r="D30" s="588"/>
      <c r="E30" s="1512" t="str">
        <f>IF('Bilan financier'!$C$53&lt;0,'Bilan financier'!$C$53,'Bilan financier'!$G$53)</f>
        <v/>
      </c>
      <c r="F30" s="1513"/>
      <c r="G30" s="1512" t="str">
        <f>IF('Bilan financier'!$D$53&lt;0,'Bilan financier'!$D$53,'Bilan financier'!$H$53)</f>
        <v/>
      </c>
      <c r="H30" s="1513"/>
      <c r="I30" s="1512" t="str">
        <f>IF('Bilan financier'!$E$53&lt;0,'Bilan financier'!$E$53,'Bilan financier'!$I$53)</f>
        <v/>
      </c>
      <c r="J30" s="1513"/>
      <c r="K30" s="145"/>
      <c r="L30" s="146"/>
    </row>
    <row r="31" spans="1:12" ht="17.25" thickBot="1">
      <c r="C31" s="147"/>
      <c r="D31" s="148"/>
      <c r="E31" s="148"/>
      <c r="F31" s="148"/>
      <c r="G31" s="148"/>
      <c r="H31" s="148"/>
      <c r="I31" s="148"/>
      <c r="J31" s="148"/>
      <c r="K31" s="149"/>
      <c r="L31" s="150"/>
    </row>
    <row r="32" spans="1:12" ht="17.25" thickBot="1">
      <c r="A32" s="133" t="s">
        <v>253</v>
      </c>
      <c r="D32" s="133"/>
      <c r="E32" s="133"/>
      <c r="F32" s="133"/>
      <c r="G32" s="133"/>
      <c r="H32" s="133"/>
      <c r="I32" s="133"/>
      <c r="J32" s="133"/>
      <c r="K32" s="133"/>
      <c r="L32" s="133"/>
    </row>
    <row r="33" spans="3:12">
      <c r="C33" s="134" t="s">
        <v>608</v>
      </c>
      <c r="D33" s="1462" t="s">
        <v>382</v>
      </c>
      <c r="E33" s="1463"/>
      <c r="F33" s="1463"/>
      <c r="G33" s="1463"/>
      <c r="H33" s="1463"/>
      <c r="I33" s="1463"/>
      <c r="J33" s="1463"/>
      <c r="K33" s="1463"/>
      <c r="L33" s="1464"/>
    </row>
    <row r="34" spans="3:12">
      <c r="C34" s="135" t="s">
        <v>206</v>
      </c>
      <c r="D34" s="1471" t="s">
        <v>198</v>
      </c>
      <c r="E34" s="1472"/>
      <c r="F34" s="1472"/>
      <c r="G34" s="1472"/>
      <c r="H34" s="1472"/>
      <c r="I34" s="1472"/>
      <c r="J34" s="1472"/>
      <c r="K34" s="1472"/>
      <c r="L34" s="1473"/>
    </row>
    <row r="35" spans="3:12">
      <c r="C35" s="136" t="s">
        <v>147</v>
      </c>
      <c r="D35" s="1517" t="s">
        <v>611</v>
      </c>
      <c r="E35" s="1518"/>
      <c r="F35" s="1518"/>
      <c r="G35" s="1518"/>
      <c r="H35" s="1518"/>
      <c r="I35" s="1518"/>
      <c r="J35" s="1518"/>
      <c r="K35" s="1518"/>
      <c r="L35" s="1519"/>
    </row>
    <row r="36" spans="3:12">
      <c r="C36" s="137" t="s">
        <v>220</v>
      </c>
      <c r="D36" s="1520" t="s">
        <v>222</v>
      </c>
      <c r="E36" s="1520"/>
      <c r="F36" s="1520"/>
      <c r="G36" s="1520"/>
      <c r="H36" s="1520"/>
      <c r="I36" s="1520"/>
      <c r="J36" s="1520"/>
      <c r="K36" s="1520"/>
      <c r="L36" s="1521"/>
    </row>
    <row r="37" spans="3:12" ht="5.0999999999999996" customHeight="1">
      <c r="C37" s="138"/>
      <c r="D37" s="139"/>
      <c r="E37" s="139"/>
      <c r="F37" s="139"/>
      <c r="G37" s="139"/>
      <c r="H37" s="139"/>
      <c r="I37" s="139"/>
      <c r="J37" s="139"/>
      <c r="K37" s="139"/>
      <c r="L37" s="140"/>
    </row>
    <row r="38" spans="3:12">
      <c r="C38" s="141"/>
      <c r="D38" s="142"/>
      <c r="E38" s="1458">
        <f>'Bilan financier'!$C$17</f>
        <v>2017</v>
      </c>
      <c r="F38" s="1459"/>
      <c r="G38" s="1458">
        <f>'Bilan financier'!$D$17</f>
        <v>2018</v>
      </c>
      <c r="H38" s="1459"/>
      <c r="I38" s="1457">
        <f>'Bilan financier'!$E$17</f>
        <v>2019</v>
      </c>
      <c r="J38" s="1457"/>
      <c r="K38" s="143"/>
      <c r="L38" s="144"/>
    </row>
    <row r="39" spans="3:12" ht="5.0999999999999996" customHeight="1">
      <c r="C39" s="141"/>
      <c r="D39" s="876"/>
      <c r="E39" s="876"/>
      <c r="F39" s="876"/>
      <c r="G39" s="876"/>
      <c r="H39" s="876"/>
      <c r="I39" s="876"/>
      <c r="J39" s="876"/>
      <c r="K39" s="143"/>
      <c r="L39" s="144"/>
    </row>
    <row r="40" spans="3:12" ht="27.95" customHeight="1">
      <c r="C40" s="1522" t="s">
        <v>254</v>
      </c>
      <c r="D40" s="1523"/>
      <c r="E40" s="152" t="e">
        <f>($E$41*365)/(SIG!$G$22+SIG!$G$23+SIG!$G$24+SIG!$G$29+SIG!$G$30+SIG!$G$40+SIG!$G$46+SIG!$G$55)</f>
        <v>#DIV/0!</v>
      </c>
      <c r="F40" s="153" t="s">
        <v>241</v>
      </c>
      <c r="G40" s="154" t="e">
        <f>($G$41*365)/(SIG!$H$22+SIG!$H$23+SIG!$H$24+SIG!$H$29+SIG!$H$30+SIG!$H$40+SIG!$H$46+SIG!$H$55)</f>
        <v>#DIV/0!</v>
      </c>
      <c r="H40" s="153" t="s">
        <v>241</v>
      </c>
      <c r="I40" s="155" t="e">
        <f>($I$41*365)/(SIG!$I$22+SIG!$I$23+SIG!$I$24+SIG!$I$29+SIG!$I$30+SIG!$I$40+SIG!$I$46+SIG!$I$55)</f>
        <v>#DIV/0!</v>
      </c>
      <c r="J40" s="153" t="s">
        <v>241</v>
      </c>
      <c r="K40" s="145"/>
      <c r="L40" s="146"/>
    </row>
    <row r="41" spans="3:12" ht="27.95" customHeight="1">
      <c r="C41" s="856" t="s">
        <v>388</v>
      </c>
      <c r="D41" s="857"/>
      <c r="E41" s="1516">
        <f>('Bilan financier'!$G$37+'Bilan financier'!$G$52)-('Bilan financier'!$C$37+'Bilan financier'!$C$52)</f>
        <v>0</v>
      </c>
      <c r="F41" s="1513"/>
      <c r="G41" s="1512">
        <f>('Bilan financier'!$H$37+'Bilan financier'!$H$52)-('Bilan financier'!$D$37+'Bilan financier'!$D$52)</f>
        <v>0</v>
      </c>
      <c r="H41" s="1513"/>
      <c r="I41" s="1512">
        <f>('Bilan financier'!$I$37+'Bilan financier'!$I$52)-('Bilan financier'!$E$37+'Bilan financier'!$E$52)</f>
        <v>0</v>
      </c>
      <c r="J41" s="1516"/>
      <c r="K41" s="145"/>
      <c r="L41" s="146"/>
    </row>
    <row r="42" spans="3:12" ht="17.25" thickBot="1">
      <c r="C42" s="147"/>
      <c r="D42" s="148"/>
      <c r="E42" s="148"/>
      <c r="F42" s="148"/>
      <c r="G42" s="148"/>
      <c r="H42" s="148"/>
      <c r="I42" s="148"/>
      <c r="J42" s="148"/>
      <c r="K42" s="149"/>
      <c r="L42" s="150"/>
    </row>
    <row r="43" spans="3:12" ht="17.25" thickBot="1">
      <c r="D43" s="133"/>
      <c r="E43" s="133"/>
      <c r="F43" s="133"/>
      <c r="G43" s="133"/>
      <c r="H43" s="133"/>
      <c r="I43" s="133"/>
      <c r="J43" s="133"/>
      <c r="K43" s="133"/>
      <c r="L43" s="133"/>
    </row>
    <row r="44" spans="3:12">
      <c r="C44" s="134" t="s">
        <v>608</v>
      </c>
      <c r="D44" s="1462" t="s">
        <v>382</v>
      </c>
      <c r="E44" s="1463"/>
      <c r="F44" s="1463"/>
      <c r="G44" s="1463"/>
      <c r="H44" s="1463"/>
      <c r="I44" s="1463"/>
      <c r="J44" s="1463"/>
      <c r="K44" s="1463"/>
      <c r="L44" s="1464"/>
    </row>
    <row r="45" spans="3:12">
      <c r="C45" s="135" t="s">
        <v>206</v>
      </c>
      <c r="D45" s="1471" t="s">
        <v>198</v>
      </c>
      <c r="E45" s="1472"/>
      <c r="F45" s="1472"/>
      <c r="G45" s="1472"/>
      <c r="H45" s="1472"/>
      <c r="I45" s="1472"/>
      <c r="J45" s="1472"/>
      <c r="K45" s="1472"/>
      <c r="L45" s="1473"/>
    </row>
    <row r="46" spans="3:12">
      <c r="C46" s="136" t="s">
        <v>147</v>
      </c>
      <c r="D46" s="1517" t="s">
        <v>513</v>
      </c>
      <c r="E46" s="1518"/>
      <c r="F46" s="1518"/>
      <c r="G46" s="1518"/>
      <c r="H46" s="1518"/>
      <c r="I46" s="1518"/>
      <c r="J46" s="1518"/>
      <c r="K46" s="1518"/>
      <c r="L46" s="1519"/>
    </row>
    <row r="47" spans="3:12">
      <c r="C47" s="137" t="s">
        <v>220</v>
      </c>
      <c r="D47" s="1520" t="s">
        <v>222</v>
      </c>
      <c r="E47" s="1520"/>
      <c r="F47" s="1520"/>
      <c r="G47" s="1520"/>
      <c r="H47" s="1520"/>
      <c r="I47" s="1520"/>
      <c r="J47" s="1520"/>
      <c r="K47" s="1520"/>
      <c r="L47" s="1521"/>
    </row>
    <row r="48" spans="3:12" ht="5.0999999999999996" customHeight="1">
      <c r="C48" s="138"/>
      <c r="D48" s="139"/>
      <c r="E48" s="139"/>
      <c r="F48" s="139"/>
      <c r="G48" s="139"/>
      <c r="H48" s="139"/>
      <c r="I48" s="139"/>
      <c r="J48" s="139"/>
      <c r="K48" s="139"/>
      <c r="L48" s="140"/>
    </row>
    <row r="49" spans="3:12">
      <c r="C49" s="141"/>
      <c r="D49" s="142"/>
      <c r="E49" s="1458">
        <f>'Bilan financier'!$C$17</f>
        <v>2017</v>
      </c>
      <c r="F49" s="1459"/>
      <c r="G49" s="1458">
        <f>'Bilan financier'!$D$17</f>
        <v>2018</v>
      </c>
      <c r="H49" s="1459"/>
      <c r="I49" s="1457">
        <f>'Bilan financier'!$E$17</f>
        <v>2019</v>
      </c>
      <c r="J49" s="1457"/>
      <c r="K49" s="143"/>
      <c r="L49" s="144"/>
    </row>
    <row r="50" spans="3:12" ht="5.0999999999999996" customHeight="1">
      <c r="C50" s="141"/>
      <c r="D50" s="876"/>
      <c r="E50" s="876"/>
      <c r="F50" s="876"/>
      <c r="G50" s="876"/>
      <c r="H50" s="876"/>
      <c r="I50" s="876"/>
      <c r="J50" s="876"/>
      <c r="K50" s="143"/>
      <c r="L50" s="144"/>
    </row>
    <row r="51" spans="3:12" ht="27.95" customHeight="1">
      <c r="C51" s="1522" t="s">
        <v>255</v>
      </c>
      <c r="D51" s="1523"/>
      <c r="E51" s="156" t="e">
        <f>IF('Bilan financier'!$C$72="",-(($E$53/(SIG!$G$22+SIG!$G$23+SIG!$G$24+SIG!$G$29+SIG!$G$30+SIG!$G$40+SIG!$G$46+SIG!$G$55))*365),(('Bilan financier'!$C$72/(SIG!$G$22+SIG!$G$23+SIG!$G$24+SIG!$G$29+SIG!$G$30+SIG!$G$40+SIG!$G$46+SIG!$G$55))*365))</f>
        <v>#VALUE!</v>
      </c>
      <c r="F51" s="153" t="s">
        <v>241</v>
      </c>
      <c r="G51" s="157" t="e">
        <f>IF('Bilan financier'!$D$72="",-(($G$53/(SIG!$H$22+SIG!$H$23+SIG!$H$24+SIG!$H$29+SIG!$H$30+SIG!$H$40+SIG!$H$46+SIG!$H$55))*365),(('Bilan financier'!$D$72/(SIG!$H$22+SIG!$H$23+SIG!$H$24+SIG!$H$29+SIG!$H$30+SIG!$H$40+SIG!$H$46+SIG!$H$55))*365))</f>
        <v>#VALUE!</v>
      </c>
      <c r="H51" s="153" t="s">
        <v>241</v>
      </c>
      <c r="I51" s="158" t="e">
        <f>IF('Bilan financier'!$E$72="",-(($I$53/(SIG!$I$22+SIG!$I$23+SIG!$I$24+SIG!$I$29+SIG!$I$30+SIG!$I$40+SIG!$I$46+SIG!$I$55))*365),(('Bilan financier'!$E$72/(SIG!$I$22+SIG!$I$23+SIG!$I$24+SIG!$I$29+SIG!$I$30+SIG!$I$40+SIG!$I$46+SIG!$I$55))*365))</f>
        <v>#VALUE!</v>
      </c>
      <c r="J51" s="153" t="s">
        <v>241</v>
      </c>
      <c r="K51" s="145"/>
      <c r="L51" s="146"/>
    </row>
    <row r="52" spans="3:12" ht="27.95" customHeight="1">
      <c r="C52" s="856" t="s">
        <v>387</v>
      </c>
      <c r="D52" s="857"/>
      <c r="E52" s="1533" t="str">
        <f>'Bilan financier'!$C$72</f>
        <v/>
      </c>
      <c r="F52" s="1534"/>
      <c r="G52" s="1512" t="str">
        <f>'Bilan financier'!$D$72</f>
        <v/>
      </c>
      <c r="H52" s="1513"/>
      <c r="I52" s="1512" t="str">
        <f>'Bilan financier'!$E$72</f>
        <v/>
      </c>
      <c r="J52" s="1516"/>
      <c r="K52" s="145"/>
      <c r="L52" s="146"/>
    </row>
    <row r="53" spans="3:12" ht="27.95" customHeight="1">
      <c r="C53" s="856" t="s">
        <v>514</v>
      </c>
      <c r="D53" s="857"/>
      <c r="E53" s="1529" t="str">
        <f>'Bilan financier'!$G$72</f>
        <v/>
      </c>
      <c r="F53" s="1530"/>
      <c r="G53" s="1531" t="str">
        <f>'Bilan financier'!$H$72</f>
        <v/>
      </c>
      <c r="H53" s="1532"/>
      <c r="I53" s="1531" t="str">
        <f>'Bilan financier'!$I$72</f>
        <v/>
      </c>
      <c r="J53" s="1532"/>
      <c r="K53" s="145"/>
      <c r="L53" s="146"/>
    </row>
    <row r="54" spans="3:12" ht="17.25" thickBot="1">
      <c r="C54" s="147"/>
      <c r="D54" s="148"/>
      <c r="E54" s="148"/>
      <c r="F54" s="148"/>
      <c r="G54" s="148"/>
      <c r="H54" s="148"/>
      <c r="I54" s="148"/>
      <c r="J54" s="148"/>
      <c r="K54" s="149"/>
      <c r="L54" s="150"/>
    </row>
    <row r="55" spans="3:12" ht="17.25" thickBot="1">
      <c r="D55" s="133"/>
      <c r="E55" s="133"/>
      <c r="F55" s="133"/>
      <c r="G55" s="133"/>
      <c r="H55" s="133"/>
      <c r="I55" s="133"/>
      <c r="J55" s="133"/>
      <c r="K55" s="133"/>
      <c r="L55" s="133"/>
    </row>
    <row r="56" spans="3:12">
      <c r="C56" s="134" t="s">
        <v>608</v>
      </c>
      <c r="D56" s="1462" t="s">
        <v>382</v>
      </c>
      <c r="E56" s="1463"/>
      <c r="F56" s="1463"/>
      <c r="G56" s="1463"/>
      <c r="H56" s="1463"/>
      <c r="I56" s="1463"/>
      <c r="J56" s="1463"/>
      <c r="K56" s="1463"/>
      <c r="L56" s="1464"/>
    </row>
    <row r="57" spans="3:12">
      <c r="C57" s="135" t="s">
        <v>206</v>
      </c>
      <c r="D57" s="1471" t="s">
        <v>198</v>
      </c>
      <c r="E57" s="1472"/>
      <c r="F57" s="1472"/>
      <c r="G57" s="1472"/>
      <c r="H57" s="1472"/>
      <c r="I57" s="1472"/>
      <c r="J57" s="1472"/>
      <c r="K57" s="1472"/>
      <c r="L57" s="1473"/>
    </row>
    <row r="58" spans="3:12">
      <c r="C58" s="136" t="s">
        <v>147</v>
      </c>
      <c r="D58" s="1517" t="s">
        <v>612</v>
      </c>
      <c r="E58" s="1518"/>
      <c r="F58" s="1518"/>
      <c r="G58" s="1518"/>
      <c r="H58" s="1518"/>
      <c r="I58" s="1518"/>
      <c r="J58" s="1518"/>
      <c r="K58" s="1518"/>
      <c r="L58" s="1519"/>
    </row>
    <row r="59" spans="3:12">
      <c r="C59" s="137" t="s">
        <v>220</v>
      </c>
      <c r="D59" s="1520" t="s">
        <v>222</v>
      </c>
      <c r="E59" s="1520"/>
      <c r="F59" s="1520"/>
      <c r="G59" s="1520"/>
      <c r="H59" s="1520"/>
      <c r="I59" s="1520"/>
      <c r="J59" s="1520"/>
      <c r="K59" s="1520"/>
      <c r="L59" s="1521"/>
    </row>
    <row r="60" spans="3:12" ht="5.0999999999999996" customHeight="1">
      <c r="C60" s="138"/>
      <c r="D60" s="139"/>
      <c r="E60" s="139"/>
      <c r="F60" s="139"/>
      <c r="G60" s="139"/>
      <c r="H60" s="139"/>
      <c r="I60" s="139"/>
      <c r="J60" s="139"/>
      <c r="K60" s="139"/>
      <c r="L60" s="140"/>
    </row>
    <row r="61" spans="3:12">
      <c r="C61" s="141"/>
      <c r="D61" s="142"/>
      <c r="E61" s="1458">
        <f>'Bilan financier'!$C$17</f>
        <v>2017</v>
      </c>
      <c r="F61" s="1459"/>
      <c r="G61" s="1458">
        <f>'Bilan financier'!$D$17</f>
        <v>2018</v>
      </c>
      <c r="H61" s="1459"/>
      <c r="I61" s="1457">
        <f>'Bilan financier'!$E$17</f>
        <v>2019</v>
      </c>
      <c r="J61" s="1457"/>
      <c r="K61" s="143"/>
      <c r="L61" s="144"/>
    </row>
    <row r="62" spans="3:12" ht="5.0999999999999996" customHeight="1">
      <c r="C62" s="141"/>
      <c r="D62" s="876"/>
      <c r="E62" s="876"/>
      <c r="F62" s="876"/>
      <c r="G62" s="876"/>
      <c r="H62" s="876"/>
      <c r="I62" s="876"/>
      <c r="J62" s="876"/>
      <c r="K62" s="143"/>
      <c r="L62" s="144"/>
    </row>
    <row r="63" spans="3:12" ht="27.95" customHeight="1">
      <c r="C63" s="1522" t="s">
        <v>256</v>
      </c>
      <c r="D63" s="1523"/>
      <c r="E63" s="156" t="e">
        <f>IF('Bilan financier'!$C$84&gt;0,(('Bilan financier'!$C$84/(SIG!$G$22+SIG!$G$23+SIG!$G$24+SIG!$G$29+SIG!$G$30+SIG!$G$40+SIG!$G$46+SIG!$G$55))*365),(('Bilan financier'!$G$84/(SIG!$G$22+SIG!$G$23+SIG!$G$24+SIG!$G$29+SIG!$G$30+SIG!$G$40+SIG!$G$46+SIG!$G$55))*365))</f>
        <v>#VALUE!</v>
      </c>
      <c r="F63" s="153" t="s">
        <v>241</v>
      </c>
      <c r="G63" s="158" t="e">
        <f>IF('Bilan financier'!$D$84&gt;0,(('Bilan financier'!$D$84/(SIG!$H$22+SIG!$H$23+SIG!$H$24+SIG!$H$29+SIG!$H$30+SIG!$H$40+SIG!$H$46+SIG!$H$55))*365),(('Bilan financier'!$H$84/(SIG!$H$22+SIG!$H$23+SIG!$H$24+SIG!$H$29+SIG!$H$30+SIG!$H$40+SIG!$H$46+SIG!$H$55))*365))</f>
        <v>#VALUE!</v>
      </c>
      <c r="H63" s="153" t="s">
        <v>241</v>
      </c>
      <c r="I63" s="158" t="e">
        <f>IF('Bilan financier'!$E$84&gt;0,(('Bilan financier'!$E$84/(SIG!$I$22+SIG!$I$23+SIG!$I$24+SIG!$I$29+SIG!$I$30+SIG!$I$40+SIG!$I$46+SIG!$I$55))*365),(('Bilan financier'!$I$84/(SIG!$I$22+SIG!$I$23+SIG!$I$24+SIG!$I$29+SIG!$I$30+SIG!$I$40+SIG!$I$46+SIG!$I$55))*365))</f>
        <v>#VALUE!</v>
      </c>
      <c r="J63" s="153" t="s">
        <v>241</v>
      </c>
      <c r="K63" s="145"/>
      <c r="L63" s="146"/>
    </row>
    <row r="64" spans="3:12" ht="27.95" customHeight="1">
      <c r="C64" s="856" t="s">
        <v>613</v>
      </c>
      <c r="D64" s="857"/>
      <c r="E64" s="1516">
        <f>'Bilan financier'!$C$82-'Bilan financier'!$G$82</f>
        <v>0</v>
      </c>
      <c r="F64" s="1513"/>
      <c r="G64" s="1512">
        <f>'Bilan financier'!$D$82-'Bilan financier'!$H$82</f>
        <v>0</v>
      </c>
      <c r="H64" s="1513"/>
      <c r="I64" s="1512">
        <f>'Bilan financier'!$E$82-'Bilan financier'!$I$82</f>
        <v>0</v>
      </c>
      <c r="J64" s="1516"/>
      <c r="K64" s="145"/>
      <c r="L64" s="146"/>
    </row>
    <row r="65" spans="1:12" ht="17.25" thickBot="1">
      <c r="C65" s="147"/>
      <c r="D65" s="148"/>
      <c r="E65" s="148"/>
      <c r="F65" s="148"/>
      <c r="G65" s="148"/>
      <c r="H65" s="148"/>
      <c r="I65" s="148"/>
      <c r="J65" s="148"/>
      <c r="K65" s="149"/>
      <c r="L65" s="150"/>
    </row>
    <row r="66" spans="1:12" ht="17.25" thickBot="1">
      <c r="C66" s="159"/>
      <c r="D66" s="160"/>
      <c r="E66" s="160"/>
      <c r="F66" s="160"/>
      <c r="G66" s="160"/>
      <c r="H66" s="160"/>
      <c r="I66" s="160"/>
      <c r="J66" s="160"/>
      <c r="K66" s="887"/>
      <c r="L66" s="145"/>
    </row>
    <row r="67" spans="1:12">
      <c r="A67" s="646" t="s">
        <v>231</v>
      </c>
      <c r="B67" s="161"/>
      <c r="C67" s="162" t="s">
        <v>608</v>
      </c>
      <c r="D67" s="1462" t="s">
        <v>383</v>
      </c>
      <c r="E67" s="1463"/>
      <c r="F67" s="1463"/>
      <c r="G67" s="1463"/>
      <c r="H67" s="1463"/>
      <c r="I67" s="1463"/>
      <c r="J67" s="1463"/>
      <c r="K67" s="1463"/>
      <c r="L67" s="1464"/>
    </row>
    <row r="68" spans="1:12" ht="17.25" thickBot="1">
      <c r="A68" s="647" t="s">
        <v>232</v>
      </c>
      <c r="B68" s="163"/>
      <c r="C68" s="164" t="s">
        <v>614</v>
      </c>
      <c r="D68" s="1471" t="s">
        <v>209</v>
      </c>
      <c r="E68" s="1472"/>
      <c r="F68" s="1472"/>
      <c r="G68" s="1472"/>
      <c r="H68" s="1472"/>
      <c r="I68" s="1472"/>
      <c r="J68" s="1472"/>
      <c r="K68" s="1472"/>
      <c r="L68" s="1473"/>
    </row>
    <row r="69" spans="1:12" ht="17.25">
      <c r="A69" s="124" t="s">
        <v>233</v>
      </c>
      <c r="B69" s="165"/>
      <c r="C69" s="166" t="s">
        <v>147</v>
      </c>
      <c r="D69" s="1493" t="s">
        <v>197</v>
      </c>
      <c r="E69" s="1494"/>
      <c r="F69" s="1494"/>
      <c r="G69" s="1494"/>
      <c r="H69" s="1494"/>
      <c r="I69" s="1494"/>
      <c r="J69" s="1494"/>
      <c r="K69" s="1494"/>
      <c r="L69" s="1495"/>
    </row>
    <row r="70" spans="1:12">
      <c r="A70" s="124" t="s">
        <v>234</v>
      </c>
      <c r="B70" s="165"/>
      <c r="C70" s="167" t="s">
        <v>220</v>
      </c>
      <c r="D70" s="1465" t="s">
        <v>221</v>
      </c>
      <c r="E70" s="1465"/>
      <c r="F70" s="1465"/>
      <c r="G70" s="1465"/>
      <c r="H70" s="1465"/>
      <c r="I70" s="1465"/>
      <c r="J70" s="1465"/>
      <c r="K70" s="1465"/>
      <c r="L70" s="1466"/>
    </row>
    <row r="71" spans="1:12" ht="5.0999999999999996" customHeight="1">
      <c r="A71" s="648"/>
      <c r="B71" s="168"/>
      <c r="C71" s="138"/>
      <c r="D71" s="139"/>
      <c r="E71" s="139"/>
      <c r="F71" s="139"/>
      <c r="G71" s="139"/>
      <c r="H71" s="139"/>
      <c r="I71" s="139"/>
      <c r="J71" s="139"/>
      <c r="K71" s="139"/>
      <c r="L71" s="140"/>
    </row>
    <row r="72" spans="1:12">
      <c r="A72" s="649" t="s">
        <v>235</v>
      </c>
      <c r="B72" s="169"/>
      <c r="C72" s="141"/>
      <c r="D72" s="142"/>
      <c r="E72" s="1458">
        <f>'Bilan financier'!$C$17</f>
        <v>2017</v>
      </c>
      <c r="F72" s="1459"/>
      <c r="G72" s="1458">
        <f>'Bilan financier'!$D$17</f>
        <v>2018</v>
      </c>
      <c r="H72" s="1459"/>
      <c r="I72" s="1457">
        <f>'Bilan financier'!$E$17</f>
        <v>2019</v>
      </c>
      <c r="J72" s="1457"/>
      <c r="K72" s="143"/>
      <c r="L72" s="144"/>
    </row>
    <row r="73" spans="1:12" ht="5.0999999999999996" customHeight="1" thickBot="1">
      <c r="A73" s="650" t="s">
        <v>236</v>
      </c>
      <c r="B73" s="170"/>
      <c r="C73" s="141"/>
      <c r="D73" s="876"/>
      <c r="E73" s="876"/>
      <c r="F73" s="876"/>
      <c r="G73" s="876"/>
      <c r="H73" s="876"/>
      <c r="I73" s="876"/>
      <c r="J73" s="876"/>
      <c r="K73" s="143"/>
      <c r="L73" s="144"/>
    </row>
    <row r="74" spans="1:12" ht="27.95" customHeight="1">
      <c r="A74" s="651" t="s">
        <v>237</v>
      </c>
      <c r="B74" s="171"/>
      <c r="C74" s="1481" t="s">
        <v>240</v>
      </c>
      <c r="D74" s="1482"/>
      <c r="E74" s="1514" t="e">
        <f>('Bilan financier'!$G$26+'Bilan financier'!$G$27)/('Bilan financier'!$G$20+'Bilan financier'!$G$21+'Bilan financier'!$G$22+'Bilan financier'!$G$23+'Bilan financier'!$G$24+'Bilan financier'!$G$25+'Bilan financier'!$G$26+'Bilan financier'!$G$41+'Bilan financier'!$G$42+'Bilan financier'!$G$43-'Bilan financier'!$C$44-'Bilan financier'!$C$41+'Bilan financier'!$G$44+'Bilan financier'!$G$45+'Bilan financier'!$G$46+'Bilan financier'!$G$47)</f>
        <v>#DIV/0!</v>
      </c>
      <c r="F74" s="1515"/>
      <c r="G74" s="797" t="e">
        <f>('Bilan financier'!$H$26+'Bilan financier'!$H$27)/('Bilan financier'!$H$20+'Bilan financier'!$H$21+'Bilan financier'!$H$22+'Bilan financier'!$H$23+'Bilan financier'!$H$24+'Bilan financier'!$H$25+'Bilan financier'!$H$26+'Bilan financier'!$H$41+'Bilan financier'!$H$42+'Bilan financier'!$H$43-'Bilan financier'!$D$44-'Bilan financier'!$D$41+'Bilan financier'!$H$44+'Bilan financier'!$H$45+'Bilan financier'!$H$46+'Bilan financier'!$H$47)</f>
        <v>#DIV/0!</v>
      </c>
      <c r="H74" s="172" t="e">
        <f>IF($G$74&lt;$E$74,"æ",IF($G$74&gt;$E$74,"ä","ó"))</f>
        <v>#DIV/0!</v>
      </c>
      <c r="I74" s="798" t="e">
        <f>('Bilan financier'!$I$26+'Bilan financier'!$I$27)/('Bilan financier'!$I$20+'Bilan financier'!$I$21+'Bilan financier'!$I$22+'Bilan financier'!$I$23+'Bilan financier'!$I$24+'Bilan financier'!$I$25+'Bilan financier'!$I$26+'Bilan financier'!$I$41+'Bilan financier'!$I$42+'Bilan financier'!$I$43-'Bilan financier'!$E$44-'Bilan financier'!$E$41+'Bilan financier'!$I$44+'Bilan financier'!$I$45+'Bilan financier'!$I$46+'Bilan financier'!$I$47)</f>
        <v>#DIV/0!</v>
      </c>
      <c r="J74" s="173" t="e">
        <f>IF($I$74&lt;$G$74,"æ",IF($I$74&gt;$G$74,"ä","ó"))</f>
        <v>#DIV/0!</v>
      </c>
      <c r="K74" s="145"/>
      <c r="L74" s="146"/>
    </row>
    <row r="75" spans="1:12" ht="17.25" thickBot="1">
      <c r="A75" s="646" t="s">
        <v>238</v>
      </c>
      <c r="B75" s="161"/>
      <c r="C75" s="147"/>
      <c r="D75" s="148"/>
      <c r="E75" s="148"/>
      <c r="F75" s="148"/>
      <c r="G75" s="148"/>
      <c r="H75" s="148"/>
      <c r="I75" s="148"/>
      <c r="J75" s="148"/>
      <c r="K75" s="149"/>
      <c r="L75" s="150"/>
    </row>
    <row r="76" spans="1:12" ht="17.25" thickBot="1">
      <c r="A76" s="652" t="s">
        <v>239</v>
      </c>
      <c r="B76" s="165"/>
      <c r="C76" s="174"/>
      <c r="D76" s="175"/>
      <c r="E76" s="175"/>
      <c r="F76" s="175"/>
      <c r="G76" s="175"/>
      <c r="H76" s="175"/>
      <c r="I76" s="175"/>
      <c r="J76" s="175"/>
      <c r="K76" s="175"/>
      <c r="L76" s="175"/>
    </row>
    <row r="77" spans="1:12">
      <c r="C77" s="162" t="s">
        <v>608</v>
      </c>
      <c r="D77" s="1462" t="s">
        <v>383</v>
      </c>
      <c r="E77" s="1463"/>
      <c r="F77" s="1463"/>
      <c r="G77" s="1463"/>
      <c r="H77" s="1463"/>
      <c r="I77" s="1463"/>
      <c r="J77" s="1463"/>
      <c r="K77" s="1463"/>
      <c r="L77" s="1464"/>
    </row>
    <row r="78" spans="1:12">
      <c r="C78" s="164" t="s">
        <v>206</v>
      </c>
      <c r="D78" s="1471" t="s">
        <v>198</v>
      </c>
      <c r="E78" s="1472"/>
      <c r="F78" s="1472"/>
      <c r="G78" s="1472"/>
      <c r="H78" s="1472"/>
      <c r="I78" s="1472"/>
      <c r="J78" s="1472"/>
      <c r="K78" s="1472"/>
      <c r="L78" s="1473"/>
    </row>
    <row r="79" spans="1:12">
      <c r="C79" s="166" t="s">
        <v>147</v>
      </c>
      <c r="D79" s="1493" t="s">
        <v>12</v>
      </c>
      <c r="E79" s="1494"/>
      <c r="F79" s="1494"/>
      <c r="G79" s="1494"/>
      <c r="H79" s="1494"/>
      <c r="I79" s="1494"/>
      <c r="J79" s="1494"/>
      <c r="K79" s="1494"/>
      <c r="L79" s="1495"/>
    </row>
    <row r="80" spans="1:12">
      <c r="A80" s="121"/>
      <c r="B80" s="121"/>
      <c r="C80" s="167" t="s">
        <v>220</v>
      </c>
      <c r="D80" s="1465" t="s">
        <v>221</v>
      </c>
      <c r="E80" s="1465"/>
      <c r="F80" s="1465"/>
      <c r="G80" s="1465"/>
      <c r="H80" s="1465"/>
      <c r="I80" s="1465"/>
      <c r="J80" s="1465"/>
      <c r="K80" s="1465"/>
      <c r="L80" s="1466"/>
    </row>
    <row r="81" spans="3:17" ht="5.0999999999999996" customHeight="1">
      <c r="C81" s="138"/>
      <c r="D81" s="139"/>
      <c r="E81" s="139"/>
      <c r="F81" s="139"/>
      <c r="G81" s="139"/>
      <c r="H81" s="139"/>
      <c r="I81" s="139"/>
      <c r="J81" s="139"/>
      <c r="K81" s="139"/>
      <c r="L81" s="140"/>
    </row>
    <row r="82" spans="3:17">
      <c r="C82" s="141"/>
      <c r="D82" s="142"/>
      <c r="E82" s="1458">
        <f>'Bilan financier'!$C$17</f>
        <v>2017</v>
      </c>
      <c r="F82" s="1459"/>
      <c r="G82" s="1458">
        <f>'Bilan financier'!$D$17</f>
        <v>2018</v>
      </c>
      <c r="H82" s="1459"/>
      <c r="I82" s="1457">
        <f>'Bilan financier'!$E$17</f>
        <v>2019</v>
      </c>
      <c r="J82" s="1457"/>
      <c r="K82" s="143"/>
      <c r="L82" s="144"/>
    </row>
    <row r="83" spans="3:17" ht="5.0999999999999996" customHeight="1">
      <c r="C83" s="141"/>
      <c r="D83" s="876"/>
      <c r="E83" s="876"/>
      <c r="F83" s="876"/>
      <c r="G83" s="876"/>
      <c r="H83" s="876"/>
      <c r="I83" s="876"/>
      <c r="J83" s="876"/>
      <c r="K83" s="143"/>
      <c r="L83" s="144"/>
    </row>
    <row r="84" spans="3:17" ht="27.95" customHeight="1">
      <c r="C84" s="1481" t="s">
        <v>12</v>
      </c>
      <c r="D84" s="1482"/>
      <c r="E84" s="176" t="e">
        <f>('Bilan financier'!$G$26+'Bilan financier'!$G$27)/CAF!$H$16</f>
        <v>#DIV/0!</v>
      </c>
      <c r="F84" s="177" t="s">
        <v>242</v>
      </c>
      <c r="G84" s="176" t="e">
        <f>('Bilan financier'!$H$26+'Bilan financier'!$H$27)/CAF!$I$16</f>
        <v>#DIV/0!</v>
      </c>
      <c r="H84" s="177" t="s">
        <v>242</v>
      </c>
      <c r="I84" s="178" t="e">
        <f>('Bilan financier'!$I$26+'Bilan financier'!$I$27)/CAF!$J$16</f>
        <v>#DIV/0!</v>
      </c>
      <c r="J84" s="177" t="s">
        <v>242</v>
      </c>
      <c r="K84" s="145"/>
      <c r="L84" s="146"/>
    </row>
    <row r="85" spans="3:17" ht="17.25" thickBot="1">
      <c r="C85" s="147"/>
      <c r="D85" s="148"/>
      <c r="E85" s="148"/>
      <c r="F85" s="148"/>
      <c r="G85" s="148"/>
      <c r="H85" s="148"/>
      <c r="I85" s="148"/>
      <c r="J85" s="148"/>
      <c r="K85" s="149"/>
      <c r="L85" s="150"/>
    </row>
    <row r="86" spans="3:17" ht="17.25" thickBot="1">
      <c r="C86" s="159"/>
      <c r="D86" s="160"/>
      <c r="E86" s="160"/>
      <c r="F86" s="160"/>
      <c r="G86" s="160"/>
      <c r="H86" s="160"/>
      <c r="I86" s="160"/>
      <c r="J86" s="160"/>
      <c r="K86" s="887"/>
      <c r="L86" s="145"/>
    </row>
    <row r="87" spans="3:17">
      <c r="C87" s="162" t="s">
        <v>608</v>
      </c>
      <c r="D87" s="1462" t="s">
        <v>383</v>
      </c>
      <c r="E87" s="1463"/>
      <c r="F87" s="1463"/>
      <c r="G87" s="1463"/>
      <c r="H87" s="1463"/>
      <c r="I87" s="1463"/>
      <c r="J87" s="1463"/>
      <c r="K87" s="1463"/>
      <c r="L87" s="1464"/>
    </row>
    <row r="88" spans="3:17">
      <c r="C88" s="164" t="s">
        <v>206</v>
      </c>
      <c r="D88" s="1471" t="s">
        <v>198</v>
      </c>
      <c r="E88" s="1472"/>
      <c r="F88" s="1472"/>
      <c r="G88" s="1472"/>
      <c r="H88" s="1472"/>
      <c r="I88" s="1472"/>
      <c r="J88" s="1472"/>
      <c r="K88" s="1472"/>
      <c r="L88" s="1473"/>
    </row>
    <row r="89" spans="3:17">
      <c r="C89" s="166" t="s">
        <v>147</v>
      </c>
      <c r="D89" s="1493" t="s">
        <v>211</v>
      </c>
      <c r="E89" s="1494"/>
      <c r="F89" s="1494"/>
      <c r="G89" s="1494"/>
      <c r="H89" s="1494"/>
      <c r="I89" s="1494"/>
      <c r="J89" s="1494"/>
      <c r="K89" s="1494"/>
      <c r="L89" s="1495"/>
    </row>
    <row r="90" spans="3:17">
      <c r="C90" s="167" t="s">
        <v>220</v>
      </c>
      <c r="D90" s="1465" t="s">
        <v>221</v>
      </c>
      <c r="E90" s="1465"/>
      <c r="F90" s="1465"/>
      <c r="G90" s="1465"/>
      <c r="H90" s="1465"/>
      <c r="I90" s="1465"/>
      <c r="J90" s="1465"/>
      <c r="K90" s="1465"/>
      <c r="L90" s="1466"/>
    </row>
    <row r="91" spans="3:17" ht="5.0999999999999996" customHeight="1">
      <c r="C91" s="138"/>
      <c r="D91" s="139"/>
      <c r="E91" s="139"/>
      <c r="F91" s="139"/>
      <c r="G91" s="139"/>
      <c r="H91" s="139"/>
      <c r="I91" s="139"/>
      <c r="J91" s="139"/>
      <c r="K91" s="139"/>
      <c r="L91" s="140"/>
    </row>
    <row r="92" spans="3:17">
      <c r="C92" s="141"/>
      <c r="D92" s="142"/>
      <c r="E92" s="1458">
        <f>'Bilan financier'!$C$17</f>
        <v>2017</v>
      </c>
      <c r="F92" s="1459"/>
      <c r="G92" s="1458">
        <f>'Bilan financier'!$D$17</f>
        <v>2018</v>
      </c>
      <c r="H92" s="1459"/>
      <c r="I92" s="1457">
        <f>'Bilan financier'!$E$17</f>
        <v>2019</v>
      </c>
      <c r="J92" s="1457"/>
      <c r="K92" s="143"/>
      <c r="L92" s="144"/>
    </row>
    <row r="93" spans="3:17" ht="5.0999999999999996" customHeight="1">
      <c r="C93" s="141"/>
      <c r="D93" s="876"/>
      <c r="E93" s="876"/>
      <c r="F93" s="876"/>
      <c r="G93" s="876"/>
      <c r="H93" s="876"/>
      <c r="I93" s="876"/>
      <c r="J93" s="876"/>
      <c r="K93" s="143"/>
      <c r="L93" s="144"/>
    </row>
    <row r="94" spans="3:17" ht="27.95" customHeight="1">
      <c r="C94" s="1481" t="s">
        <v>211</v>
      </c>
      <c r="D94" s="1482"/>
      <c r="E94" s="179" t="e">
        <f>('Bilan financier'!$G$26+'Bilan financier'!$G$27)/(SIG!$G$20+SIG!$G$28+SIG!$G$35+SIG!$G$44+SIG!$G$45+SIG!$G$52+SIG!$G$53)</f>
        <v>#DIV/0!</v>
      </c>
      <c r="F94" s="180"/>
      <c r="G94" s="179" t="e">
        <f>('Bilan financier'!$H$26+'Bilan financier'!$H$27)/(SIG!$H$20+SIG!$H$28+SIG!$H$35+SIG!$H$36+SIG!$H$44+SIG!$H$45+SIG!$H$52+SIG!$H$53)</f>
        <v>#DIV/0!</v>
      </c>
      <c r="H94" s="181" t="e">
        <f>IF($G$94&lt;$E$94,"æ",IF($G$94&gt;$E$94,"ä","ó"))</f>
        <v>#DIV/0!</v>
      </c>
      <c r="I94" s="179" t="e">
        <f>('Bilan financier'!$I$26+'Bilan financier'!$I$27)/(SIG!$I$20+SIG!$I$28+SIG!$I$35+SIG!$I$36+SIG!$I$44+SIG!$I$45+SIG!$I$52+SIG!$I$53)</f>
        <v>#DIV/0!</v>
      </c>
      <c r="J94" s="181" t="e">
        <f>IF($I$94&lt;$G$94,"æ",IF($I$94&gt;$G$94,"ä","ó"))</f>
        <v>#DIV/0!</v>
      </c>
      <c r="K94" s="145"/>
      <c r="L94" s="146"/>
      <c r="Q94" s="653"/>
    </row>
    <row r="95" spans="3:17" ht="17.25" thickBot="1">
      <c r="C95" s="147"/>
      <c r="D95" s="148"/>
      <c r="E95" s="148"/>
      <c r="F95" s="148"/>
      <c r="G95" s="148"/>
      <c r="H95" s="148"/>
      <c r="I95" s="148"/>
      <c r="J95" s="148"/>
      <c r="K95" s="149"/>
      <c r="L95" s="150"/>
    </row>
    <row r="96" spans="3:17" ht="17.25" thickBot="1">
      <c r="C96" s="159"/>
      <c r="D96" s="160"/>
      <c r="E96" s="160"/>
      <c r="F96" s="160"/>
      <c r="G96" s="160"/>
      <c r="H96" s="160"/>
      <c r="I96" s="160"/>
      <c r="J96" s="160"/>
      <c r="K96" s="887"/>
      <c r="L96" s="145"/>
    </row>
    <row r="97" spans="3:12">
      <c r="C97" s="162" t="s">
        <v>608</v>
      </c>
      <c r="D97" s="1462" t="s">
        <v>383</v>
      </c>
      <c r="E97" s="1463"/>
      <c r="F97" s="1463"/>
      <c r="G97" s="1463"/>
      <c r="H97" s="1463"/>
      <c r="I97" s="1463"/>
      <c r="J97" s="1463"/>
      <c r="K97" s="1463"/>
      <c r="L97" s="1464"/>
    </row>
    <row r="98" spans="3:12">
      <c r="C98" s="164" t="s">
        <v>206</v>
      </c>
      <c r="D98" s="1471" t="s">
        <v>198</v>
      </c>
      <c r="E98" s="1472"/>
      <c r="F98" s="1472"/>
      <c r="G98" s="1472"/>
      <c r="H98" s="1472"/>
      <c r="I98" s="1472"/>
      <c r="J98" s="1472"/>
      <c r="K98" s="1472"/>
      <c r="L98" s="1473"/>
    </row>
    <row r="99" spans="3:12">
      <c r="C99" s="166" t="s">
        <v>147</v>
      </c>
      <c r="D99" s="1493" t="s">
        <v>11</v>
      </c>
      <c r="E99" s="1494"/>
      <c r="F99" s="1494"/>
      <c r="G99" s="1494"/>
      <c r="H99" s="1494"/>
      <c r="I99" s="1494"/>
      <c r="J99" s="1494"/>
      <c r="K99" s="1494"/>
      <c r="L99" s="1495"/>
    </row>
    <row r="100" spans="3:12">
      <c r="C100" s="167" t="s">
        <v>220</v>
      </c>
      <c r="D100" s="1465" t="s">
        <v>221</v>
      </c>
      <c r="E100" s="1465"/>
      <c r="F100" s="1465"/>
      <c r="G100" s="1465"/>
      <c r="H100" s="1465"/>
      <c r="I100" s="1465"/>
      <c r="J100" s="1465"/>
      <c r="K100" s="1465"/>
      <c r="L100" s="1466"/>
    </row>
    <row r="101" spans="3:12" ht="5.0999999999999996" customHeight="1">
      <c r="C101" s="138"/>
      <c r="D101" s="139"/>
      <c r="E101" s="139"/>
      <c r="F101" s="139"/>
      <c r="G101" s="139"/>
      <c r="H101" s="139"/>
      <c r="I101" s="139"/>
      <c r="J101" s="139"/>
      <c r="K101" s="139"/>
      <c r="L101" s="140"/>
    </row>
    <row r="102" spans="3:12">
      <c r="C102" s="141"/>
      <c r="D102" s="142"/>
      <c r="E102" s="1458">
        <f>'Bilan financier'!$C$17</f>
        <v>2017</v>
      </c>
      <c r="F102" s="1459"/>
      <c r="G102" s="1458">
        <f>'Bilan financier'!$D$17</f>
        <v>2018</v>
      </c>
      <c r="H102" s="1459"/>
      <c r="I102" s="1457">
        <f>'Bilan financier'!$E$17</f>
        <v>2019</v>
      </c>
      <c r="J102" s="1457"/>
      <c r="K102" s="143"/>
      <c r="L102" s="144"/>
    </row>
    <row r="103" spans="3:12" ht="5.0999999999999996" customHeight="1">
      <c r="C103" s="141"/>
      <c r="D103" s="876"/>
      <c r="E103" s="876"/>
      <c r="F103" s="876"/>
      <c r="G103" s="876"/>
      <c r="H103" s="876"/>
      <c r="I103" s="876"/>
      <c r="J103" s="876"/>
      <c r="K103" s="143"/>
      <c r="L103" s="144"/>
    </row>
    <row r="104" spans="3:12" ht="27.95" customHeight="1">
      <c r="C104" s="1481" t="s">
        <v>851</v>
      </c>
      <c r="D104" s="1482"/>
      <c r="E104" s="1075" t="e">
        <f>(('Bilan financier'!C20+'Bilan financier'!C23+'Bilan financier'!C24+'Bilan financier'!C25+'Bilan financier'!C26)-('Bilan financier'!G29+'Bilan financier'!G30+'Bilan financier'!G31+'Bilan financier'!G32))/('Bilan financier'!G26+'Bilan financier'!G27)</f>
        <v>#DIV/0!</v>
      </c>
      <c r="F104" s="1076"/>
      <c r="G104" s="1075" t="e">
        <f>(('Bilan financier'!D20+'Bilan financier'!D23+'Bilan financier'!D24+'Bilan financier'!D25+'Bilan financier'!D26)-('Bilan financier'!H29+'Bilan financier'!H30+'Bilan financier'!H31+'Bilan financier'!H32))/('Bilan financier'!H26+'Bilan financier'!H27)</f>
        <v>#DIV/0!</v>
      </c>
      <c r="H104" s="1077" t="e">
        <f>IF($G$104&lt;$E$104,"æ",IF($G$104&gt;$E$104,"ä","ó"))</f>
        <v>#DIV/0!</v>
      </c>
      <c r="I104" s="1075" t="e">
        <f>(('Bilan financier'!E20+'Bilan financier'!E23+'Bilan financier'!E24+'Bilan financier'!E25+'Bilan financier'!E26)-('Bilan financier'!I29+'Bilan financier'!I30+'Bilan financier'!I31+'Bilan financier'!I32))/('Bilan financier'!I26+'Bilan financier'!I27)</f>
        <v>#DIV/0!</v>
      </c>
      <c r="J104" s="1077" t="e">
        <f>IF($I$104&lt;$G$104,"æ",IF($I$104&gt;$G$104,"ä","ó"))</f>
        <v>#DIV/0!</v>
      </c>
      <c r="K104" s="145"/>
      <c r="L104" s="146"/>
    </row>
    <row r="105" spans="3:12" ht="17.25" thickBot="1">
      <c r="C105" s="147"/>
      <c r="D105" s="148"/>
      <c r="E105" s="148"/>
      <c r="F105" s="148"/>
      <c r="G105" s="148"/>
      <c r="H105" s="148"/>
      <c r="I105" s="148"/>
      <c r="J105" s="148"/>
      <c r="K105" s="149"/>
      <c r="L105" s="150"/>
    </row>
    <row r="106" spans="3:12" ht="17.25" thickBot="1">
      <c r="C106" s="159"/>
      <c r="D106" s="160"/>
      <c r="E106" s="160"/>
      <c r="F106" s="160"/>
      <c r="G106" s="160"/>
      <c r="H106" s="160"/>
      <c r="I106" s="160"/>
      <c r="J106" s="160"/>
      <c r="K106" s="887"/>
      <c r="L106" s="145"/>
    </row>
    <row r="107" spans="3:12">
      <c r="C107" s="681" t="s">
        <v>608</v>
      </c>
      <c r="D107" s="1462" t="s">
        <v>692</v>
      </c>
      <c r="E107" s="1463"/>
      <c r="F107" s="1463"/>
      <c r="G107" s="1463"/>
      <c r="H107" s="1463"/>
      <c r="I107" s="1463"/>
      <c r="J107" s="1463"/>
      <c r="K107" s="1463"/>
      <c r="L107" s="1464"/>
    </row>
    <row r="108" spans="3:12">
      <c r="C108" s="682" t="s">
        <v>206</v>
      </c>
      <c r="D108" s="1471" t="s">
        <v>198</v>
      </c>
      <c r="E108" s="1472"/>
      <c r="F108" s="1472"/>
      <c r="G108" s="1472"/>
      <c r="H108" s="1472"/>
      <c r="I108" s="1472"/>
      <c r="J108" s="1472"/>
      <c r="K108" s="1472"/>
      <c r="L108" s="1473"/>
    </row>
    <row r="109" spans="3:12">
      <c r="C109" s="683" t="s">
        <v>147</v>
      </c>
      <c r="D109" s="1483" t="s">
        <v>693</v>
      </c>
      <c r="E109" s="1484"/>
      <c r="F109" s="1484"/>
      <c r="G109" s="1484"/>
      <c r="H109" s="1484"/>
      <c r="I109" s="1484"/>
      <c r="J109" s="1484"/>
      <c r="K109" s="1484"/>
      <c r="L109" s="1485"/>
    </row>
    <row r="110" spans="3:12">
      <c r="C110" s="684" t="s">
        <v>220</v>
      </c>
      <c r="D110" s="1508" t="s">
        <v>740</v>
      </c>
      <c r="E110" s="1508"/>
      <c r="F110" s="1508"/>
      <c r="G110" s="1508"/>
      <c r="H110" s="1508"/>
      <c r="I110" s="1508"/>
      <c r="J110" s="1508"/>
      <c r="K110" s="1508"/>
      <c r="L110" s="1509"/>
    </row>
    <row r="111" spans="3:12" ht="17.25">
      <c r="C111" s="138"/>
      <c r="D111" s="139"/>
      <c r="E111" s="139"/>
      <c r="F111" s="139"/>
      <c r="G111" s="139"/>
      <c r="H111" s="139"/>
      <c r="I111" s="139"/>
      <c r="J111" s="139"/>
      <c r="K111" s="139"/>
      <c r="L111" s="140"/>
    </row>
    <row r="112" spans="3:12">
      <c r="C112" s="141"/>
      <c r="D112" s="142"/>
      <c r="E112" s="1458">
        <f>'Bilan financier'!$C$17</f>
        <v>2017</v>
      </c>
      <c r="F112" s="1459"/>
      <c r="G112" s="1458">
        <f>'Bilan financier'!$D$17</f>
        <v>2018</v>
      </c>
      <c r="H112" s="1459"/>
      <c r="I112" s="1457">
        <f>'Bilan financier'!$E$17</f>
        <v>2019</v>
      </c>
      <c r="J112" s="1457"/>
      <c r="K112" s="143"/>
      <c r="L112" s="144"/>
    </row>
    <row r="113" spans="3:17" ht="5.0999999999999996" customHeight="1">
      <c r="C113" s="141"/>
      <c r="D113" s="876"/>
      <c r="E113" s="876"/>
      <c r="F113" s="876"/>
      <c r="G113" s="876"/>
      <c r="H113" s="876"/>
      <c r="I113" s="876"/>
      <c r="J113" s="876"/>
      <c r="K113" s="143"/>
      <c r="L113" s="144"/>
    </row>
    <row r="114" spans="3:17" ht="27.95" customHeight="1">
      <c r="C114" s="1486" t="s">
        <v>694</v>
      </c>
      <c r="D114" s="1487"/>
      <c r="E114" s="731" t="e">
        <f>('Bilan financier'!$G$30/'Bilan financier'!$C$24)</f>
        <v>#DIV/0!</v>
      </c>
      <c r="F114" s="685"/>
      <c r="G114" s="731" t="e">
        <f>'Bilan financier'!$H$30/'Bilan financier'!$D$24</f>
        <v>#DIV/0!</v>
      </c>
      <c r="H114" s="686"/>
      <c r="I114" s="731" t="e">
        <f>'Bilan financier'!$I$30/'Bilan financier'!$E$24</f>
        <v>#DIV/0!</v>
      </c>
      <c r="J114" s="686" t="e">
        <f>IF($I$94&lt;$G$94,"æ",IF($I$94&gt;$G$94,"ä","ó"))</f>
        <v>#DIV/0!</v>
      </c>
      <c r="K114" s="145"/>
      <c r="L114" s="146"/>
    </row>
    <row r="115" spans="3:17" ht="17.25" thickBot="1">
      <c r="C115" s="147"/>
      <c r="D115" s="148"/>
      <c r="E115" s="148"/>
      <c r="F115" s="148"/>
      <c r="G115" s="148"/>
      <c r="H115" s="148"/>
      <c r="I115" s="148"/>
      <c r="J115" s="148"/>
      <c r="K115" s="149"/>
      <c r="L115" s="150"/>
    </row>
    <row r="116" spans="3:17" ht="17.25" thickBot="1">
      <c r="C116" s="159"/>
      <c r="D116" s="160"/>
      <c r="E116" s="160"/>
      <c r="F116" s="160"/>
      <c r="G116" s="160"/>
      <c r="H116" s="160"/>
      <c r="I116" s="160"/>
      <c r="J116" s="160"/>
      <c r="K116" s="887"/>
      <c r="L116" s="145"/>
    </row>
    <row r="117" spans="3:17">
      <c r="C117" s="681" t="s">
        <v>608</v>
      </c>
      <c r="D117" s="1462" t="s">
        <v>692</v>
      </c>
      <c r="E117" s="1463"/>
      <c r="F117" s="1463"/>
      <c r="G117" s="1463"/>
      <c r="H117" s="1463"/>
      <c r="I117" s="1463"/>
      <c r="J117" s="1463"/>
      <c r="K117" s="1463"/>
      <c r="L117" s="1464"/>
    </row>
    <row r="118" spans="3:17">
      <c r="C118" s="682" t="s">
        <v>206</v>
      </c>
      <c r="D118" s="1471" t="s">
        <v>198</v>
      </c>
      <c r="E118" s="1472"/>
      <c r="F118" s="1472"/>
      <c r="G118" s="1472"/>
      <c r="H118" s="1472"/>
      <c r="I118" s="1472"/>
      <c r="J118" s="1472"/>
      <c r="K118" s="1472"/>
      <c r="L118" s="1473"/>
    </row>
    <row r="119" spans="3:17">
      <c r="C119" s="683" t="s">
        <v>147</v>
      </c>
      <c r="D119" s="1483" t="s">
        <v>695</v>
      </c>
      <c r="E119" s="1484"/>
      <c r="F119" s="1484"/>
      <c r="G119" s="1484"/>
      <c r="H119" s="1484"/>
      <c r="I119" s="1484"/>
      <c r="J119" s="1484"/>
      <c r="K119" s="1484"/>
      <c r="L119" s="1485"/>
    </row>
    <row r="120" spans="3:17">
      <c r="C120" s="684" t="s">
        <v>220</v>
      </c>
      <c r="D120" s="1508" t="s">
        <v>740</v>
      </c>
      <c r="E120" s="1508"/>
      <c r="F120" s="1508"/>
      <c r="G120" s="1508"/>
      <c r="H120" s="1508"/>
      <c r="I120" s="1508"/>
      <c r="J120" s="1508"/>
      <c r="K120" s="1508"/>
      <c r="L120" s="1509"/>
    </row>
    <row r="121" spans="3:17" ht="17.25">
      <c r="C121" s="138"/>
      <c r="D121" s="139"/>
      <c r="E121" s="139"/>
      <c r="F121" s="139"/>
      <c r="G121" s="139"/>
      <c r="H121" s="139"/>
      <c r="I121" s="139"/>
      <c r="J121" s="139"/>
      <c r="K121" s="139"/>
      <c r="L121" s="140"/>
    </row>
    <row r="122" spans="3:17">
      <c r="C122" s="141"/>
      <c r="D122" s="142"/>
      <c r="E122" s="1458">
        <f>'Bilan financier'!$C$17</f>
        <v>2017</v>
      </c>
      <c r="F122" s="1459"/>
      <c r="G122" s="1458">
        <f>'Bilan financier'!$D$17</f>
        <v>2018</v>
      </c>
      <c r="H122" s="1459"/>
      <c r="I122" s="1457">
        <f>'Bilan financier'!$E$17</f>
        <v>2019</v>
      </c>
      <c r="J122" s="1457"/>
      <c r="K122" s="143"/>
      <c r="L122" s="144"/>
    </row>
    <row r="123" spans="3:17" ht="5.0999999999999996" customHeight="1">
      <c r="C123" s="141"/>
      <c r="D123" s="876"/>
      <c r="E123" s="876"/>
      <c r="F123" s="876"/>
      <c r="G123" s="876"/>
      <c r="H123" s="876"/>
      <c r="I123" s="876"/>
      <c r="J123" s="876"/>
      <c r="K123" s="143"/>
      <c r="L123" s="144"/>
    </row>
    <row r="124" spans="3:17" ht="27.95" customHeight="1">
      <c r="C124" s="1486" t="s">
        <v>695</v>
      </c>
      <c r="D124" s="1487"/>
      <c r="E124" s="731" t="e">
        <f>('Bilan financier'!$G$31+'Bilan financier'!$G$32)/('Bilan financier'!$C$25+'Bilan financier'!$C$26)</f>
        <v>#DIV/0!</v>
      </c>
      <c r="F124" s="685"/>
      <c r="G124" s="731" t="e">
        <f>('Bilan financier'!$H$31+'Bilan financier'!$H$32)/('Bilan financier'!$D$25+'Bilan financier'!$D$26)</f>
        <v>#DIV/0!</v>
      </c>
      <c r="H124" s="686"/>
      <c r="I124" s="731" t="e">
        <f>('Bilan financier'!$I$31+'Bilan financier'!$I$32)/('Bilan financier'!$E$25+'Bilan financier'!$E$26)</f>
        <v>#DIV/0!</v>
      </c>
      <c r="J124" s="686" t="e">
        <f>IF($I$94&lt;$G$94,"æ",IF($I$94&gt;$G$94,"ä","ó"))</f>
        <v>#DIV/0!</v>
      </c>
      <c r="K124" s="145"/>
      <c r="L124" s="146"/>
    </row>
    <row r="125" spans="3:17" ht="17.25" thickBot="1">
      <c r="C125" s="147"/>
      <c r="D125" s="148"/>
      <c r="E125" s="148"/>
      <c r="F125" s="148"/>
      <c r="G125" s="148"/>
      <c r="H125" s="148"/>
      <c r="I125" s="148"/>
      <c r="J125" s="148"/>
      <c r="K125" s="149"/>
      <c r="L125" s="150"/>
      <c r="Q125" s="653"/>
    </row>
    <row r="126" spans="3:17" ht="17.25" thickBot="1">
      <c r="C126" s="687"/>
      <c r="D126" s="688"/>
      <c r="E126" s="688"/>
      <c r="F126" s="688"/>
      <c r="G126" s="688"/>
      <c r="H126" s="688"/>
      <c r="I126" s="688"/>
      <c r="J126" s="688"/>
      <c r="K126" s="689"/>
      <c r="L126" s="690"/>
      <c r="Q126" s="653"/>
    </row>
    <row r="127" spans="3:17">
      <c r="C127" s="182" t="s">
        <v>608</v>
      </c>
      <c r="D127" s="1462" t="s">
        <v>385</v>
      </c>
      <c r="E127" s="1463"/>
      <c r="F127" s="1463"/>
      <c r="G127" s="1463"/>
      <c r="H127" s="1463"/>
      <c r="I127" s="1463"/>
      <c r="J127" s="1463"/>
      <c r="K127" s="1463"/>
      <c r="L127" s="1464"/>
    </row>
    <row r="128" spans="3:17">
      <c r="C128" s="183" t="s">
        <v>206</v>
      </c>
      <c r="D128" s="1471" t="s">
        <v>198</v>
      </c>
      <c r="E128" s="1472"/>
      <c r="F128" s="1472"/>
      <c r="G128" s="1472"/>
      <c r="H128" s="1472"/>
      <c r="I128" s="1472"/>
      <c r="J128" s="1472"/>
      <c r="K128" s="1472"/>
      <c r="L128" s="1473"/>
    </row>
    <row r="129" spans="3:16">
      <c r="C129" s="184" t="s">
        <v>147</v>
      </c>
      <c r="D129" s="1474" t="s">
        <v>7</v>
      </c>
      <c r="E129" s="1475"/>
      <c r="F129" s="1475"/>
      <c r="G129" s="1475"/>
      <c r="H129" s="1475"/>
      <c r="I129" s="1475"/>
      <c r="J129" s="1475"/>
      <c r="K129" s="1475"/>
      <c r="L129" s="1476"/>
    </row>
    <row r="130" spans="3:16">
      <c r="C130" s="185" t="s">
        <v>220</v>
      </c>
      <c r="D130" s="1479" t="s">
        <v>223</v>
      </c>
      <c r="E130" s="1479"/>
      <c r="F130" s="1479"/>
      <c r="G130" s="1479"/>
      <c r="H130" s="1479"/>
      <c r="I130" s="1479"/>
      <c r="J130" s="1479"/>
      <c r="K130" s="1479"/>
      <c r="L130" s="1480"/>
    </row>
    <row r="131" spans="3:16" ht="5.0999999999999996" customHeight="1">
      <c r="C131" s="138"/>
      <c r="D131" s="139"/>
      <c r="E131" s="139"/>
      <c r="F131" s="139"/>
      <c r="G131" s="139"/>
      <c r="H131" s="139"/>
      <c r="I131" s="139"/>
      <c r="J131" s="139"/>
      <c r="K131" s="139"/>
      <c r="L131" s="140"/>
    </row>
    <row r="132" spans="3:16">
      <c r="C132" s="141"/>
      <c r="D132" s="142"/>
      <c r="E132" s="1458">
        <f>'Bilan financier'!$C$17</f>
        <v>2017</v>
      </c>
      <c r="F132" s="1459"/>
      <c r="G132" s="1458">
        <f>'Bilan financier'!$D$17</f>
        <v>2018</v>
      </c>
      <c r="H132" s="1459"/>
      <c r="I132" s="1457">
        <f>'Bilan financier'!$E$17</f>
        <v>2019</v>
      </c>
      <c r="J132" s="1457"/>
      <c r="K132" s="143"/>
      <c r="L132" s="144"/>
    </row>
    <row r="133" spans="3:16" ht="5.0999999999999996" customHeight="1">
      <c r="C133" s="141"/>
      <c r="D133" s="876"/>
      <c r="E133" s="1539"/>
      <c r="F133" s="1539"/>
      <c r="G133" s="1539"/>
      <c r="H133" s="1539"/>
      <c r="I133" s="876"/>
      <c r="J133" s="876"/>
      <c r="K133" s="143"/>
      <c r="L133" s="144"/>
    </row>
    <row r="134" spans="3:16" ht="27.95" customHeight="1">
      <c r="C134" s="1477"/>
      <c r="D134" s="1478"/>
      <c r="E134" s="186">
        <f>CAF!$H$16</f>
        <v>0</v>
      </c>
      <c r="F134" s="187"/>
      <c r="G134" s="186">
        <f>CAF!$I$16</f>
        <v>0</v>
      </c>
      <c r="H134" s="636" t="str">
        <f>IF($G$134&lt;$E$134,"æ",IF($G$134&gt;$E$134,"ä","ó"))</f>
        <v>ó</v>
      </c>
      <c r="I134" s="186">
        <f>CAF!$J$16</f>
        <v>0</v>
      </c>
      <c r="J134" s="636" t="str">
        <f>IF($I$134&lt;$G$134,"æ",IF($I$134&gt;$G$134,"ä","ó"))</f>
        <v>ó</v>
      </c>
      <c r="K134" s="145"/>
      <c r="L134" s="146"/>
      <c r="N134" s="654"/>
    </row>
    <row r="135" spans="3:16" ht="27.95" customHeight="1">
      <c r="C135" s="188"/>
      <c r="D135" s="189"/>
      <c r="E135" s="1535" t="str">
        <f>IF(E134&lt;=0,"Insuffisance d'autofinancement","Capacité d'autofinancement")</f>
        <v>Insuffisance d'autofinancement</v>
      </c>
      <c r="F135" s="1536"/>
      <c r="G135" s="1535" t="str">
        <f>IF(G134&lt;=0,"Insuffisance d'autofinancement","Capacité d'autofinancement")</f>
        <v>Insuffisance d'autofinancement</v>
      </c>
      <c r="H135" s="1536"/>
      <c r="I135" s="1535" t="str">
        <f>IF(I134&lt;=0,"Insuffisance d'autofinancement","Capacité d'autofinancement")</f>
        <v>Insuffisance d'autofinancement</v>
      </c>
      <c r="J135" s="1536"/>
      <c r="K135" s="145"/>
      <c r="L135" s="146"/>
      <c r="N135" s="398"/>
    </row>
    <row r="136" spans="3:16" ht="17.25" thickBot="1">
      <c r="C136" s="147"/>
      <c r="D136" s="148"/>
      <c r="E136" s="148"/>
      <c r="F136" s="148"/>
      <c r="G136" s="148"/>
      <c r="H136" s="148"/>
      <c r="I136" s="148"/>
      <c r="J136" s="148"/>
      <c r="K136" s="149"/>
      <c r="L136" s="150"/>
    </row>
    <row r="137" spans="3:16" ht="17.25" thickBot="1">
      <c r="C137" s="159"/>
      <c r="D137" s="160"/>
      <c r="E137" s="160"/>
      <c r="F137" s="160"/>
      <c r="G137" s="160"/>
      <c r="H137" s="160"/>
      <c r="I137" s="160"/>
      <c r="J137" s="160"/>
      <c r="K137" s="887"/>
      <c r="L137" s="145"/>
      <c r="P137" s="655"/>
    </row>
    <row r="138" spans="3:16">
      <c r="C138" s="182" t="s">
        <v>608</v>
      </c>
      <c r="D138" s="1462" t="s">
        <v>385</v>
      </c>
      <c r="E138" s="1463"/>
      <c r="F138" s="1463"/>
      <c r="G138" s="1463"/>
      <c r="H138" s="1463"/>
      <c r="I138" s="1463"/>
      <c r="J138" s="1463"/>
      <c r="K138" s="1463"/>
      <c r="L138" s="1464"/>
    </row>
    <row r="139" spans="3:16">
      <c r="C139" s="183" t="s">
        <v>206</v>
      </c>
      <c r="D139" s="1471" t="s">
        <v>198</v>
      </c>
      <c r="E139" s="1472"/>
      <c r="F139" s="1472"/>
      <c r="G139" s="1472"/>
      <c r="H139" s="1472"/>
      <c r="I139" s="1472"/>
      <c r="J139" s="1472"/>
      <c r="K139" s="1472"/>
      <c r="L139" s="1473"/>
    </row>
    <row r="140" spans="3:16">
      <c r="C140" s="184" t="s">
        <v>147</v>
      </c>
      <c r="D140" s="1474" t="s">
        <v>224</v>
      </c>
      <c r="E140" s="1475"/>
      <c r="F140" s="1475"/>
      <c r="G140" s="1475"/>
      <c r="H140" s="1475"/>
      <c r="I140" s="1475"/>
      <c r="J140" s="1475"/>
      <c r="K140" s="1475"/>
      <c r="L140" s="1476"/>
    </row>
    <row r="141" spans="3:16">
      <c r="C141" s="185" t="s">
        <v>220</v>
      </c>
      <c r="D141" s="1479" t="s">
        <v>223</v>
      </c>
      <c r="E141" s="1479"/>
      <c r="F141" s="1479"/>
      <c r="G141" s="1479"/>
      <c r="H141" s="1479"/>
      <c r="I141" s="1479"/>
      <c r="J141" s="1479"/>
      <c r="K141" s="1479"/>
      <c r="L141" s="1480"/>
    </row>
    <row r="142" spans="3:16" ht="5.0999999999999996" customHeight="1">
      <c r="C142" s="138"/>
      <c r="D142" s="139"/>
      <c r="E142" s="139"/>
      <c r="F142" s="139"/>
      <c r="G142" s="139"/>
      <c r="H142" s="139"/>
      <c r="I142" s="139"/>
      <c r="J142" s="139"/>
      <c r="K142" s="139"/>
      <c r="L142" s="140"/>
    </row>
    <row r="143" spans="3:16">
      <c r="C143" s="141"/>
      <c r="D143" s="142"/>
      <c r="E143" s="1458">
        <f>'Bilan financier'!$C$17</f>
        <v>2017</v>
      </c>
      <c r="F143" s="1459"/>
      <c r="G143" s="1458">
        <f>'Bilan financier'!$D$17</f>
        <v>2018</v>
      </c>
      <c r="H143" s="1459"/>
      <c r="I143" s="1457">
        <f>'Bilan financier'!$E$17</f>
        <v>2019</v>
      </c>
      <c r="J143" s="1457"/>
      <c r="K143" s="143"/>
      <c r="L143" s="144"/>
    </row>
    <row r="144" spans="3:16" ht="5.0999999999999996" customHeight="1">
      <c r="C144" s="141"/>
      <c r="D144" s="876"/>
      <c r="E144" s="876"/>
      <c r="F144" s="876"/>
      <c r="G144" s="876"/>
      <c r="H144" s="876"/>
      <c r="I144" s="876"/>
      <c r="J144" s="876"/>
      <c r="K144" s="143"/>
      <c r="L144" s="144"/>
    </row>
    <row r="145" spans="3:12" ht="27.95" customHeight="1">
      <c r="C145" s="1467" t="s">
        <v>224</v>
      </c>
      <c r="D145" s="1468"/>
      <c r="E145" s="1469" t="e">
        <f>(SIG!$G$42-SIG!$G36)/(SIG!$G$20+SIG!G28+SIG!$G$35)</f>
        <v>#DIV/0!</v>
      </c>
      <c r="F145" s="1470"/>
      <c r="G145" s="1469" t="e">
        <f>(SIG!$H$42-SIG!$H36)/(SIG!$H$20+SIG!$H$28+SIG!$H$35)</f>
        <v>#DIV/0!</v>
      </c>
      <c r="H145" s="1470"/>
      <c r="I145" s="1469" t="e">
        <f>(SIG!$I$42-SIG!$I36)/(SIG!$I$20+SIG!$I$28+SIG!$I$35)</f>
        <v>#DIV/0!</v>
      </c>
      <c r="J145" s="1470"/>
      <c r="K145" s="145"/>
      <c r="L145" s="146"/>
    </row>
    <row r="146" spans="3:12" ht="17.25" thickBot="1">
      <c r="C146" s="147"/>
      <c r="D146" s="148"/>
      <c r="E146" s="148"/>
      <c r="F146" s="148"/>
      <c r="G146" s="148"/>
      <c r="H146" s="148"/>
      <c r="I146" s="148"/>
      <c r="J146" s="148"/>
      <c r="K146" s="149"/>
      <c r="L146" s="150"/>
    </row>
    <row r="147" spans="3:12" ht="17.25" thickBot="1">
      <c r="C147" s="159"/>
      <c r="D147" s="160"/>
      <c r="E147" s="160"/>
      <c r="F147" s="160"/>
      <c r="G147" s="160"/>
      <c r="H147" s="160"/>
      <c r="I147" s="160"/>
      <c r="J147" s="160"/>
      <c r="K147" s="887"/>
      <c r="L147" s="145"/>
    </row>
    <row r="148" spans="3:12">
      <c r="C148" s="190" t="s">
        <v>608</v>
      </c>
      <c r="D148" s="1462" t="s">
        <v>384</v>
      </c>
      <c r="E148" s="1463"/>
      <c r="F148" s="1463"/>
      <c r="G148" s="1463"/>
      <c r="H148" s="1463"/>
      <c r="I148" s="1463"/>
      <c r="J148" s="1463"/>
      <c r="K148" s="1463"/>
      <c r="L148" s="1464"/>
    </row>
    <row r="149" spans="3:12">
      <c r="C149" s="191" t="s">
        <v>206</v>
      </c>
      <c r="D149" s="1471" t="s">
        <v>198</v>
      </c>
      <c r="E149" s="1472"/>
      <c r="F149" s="1472"/>
      <c r="G149" s="1472"/>
      <c r="H149" s="1472"/>
      <c r="I149" s="1472"/>
      <c r="J149" s="1472"/>
      <c r="K149" s="1472"/>
      <c r="L149" s="1473"/>
    </row>
    <row r="150" spans="3:12">
      <c r="C150" s="192" t="s">
        <v>147</v>
      </c>
      <c r="D150" s="1496" t="s">
        <v>251</v>
      </c>
      <c r="E150" s="1497"/>
      <c r="F150" s="1497"/>
      <c r="G150" s="1497"/>
      <c r="H150" s="1497"/>
      <c r="I150" s="1497"/>
      <c r="J150" s="1497"/>
      <c r="K150" s="1497"/>
      <c r="L150" s="1498"/>
    </row>
    <row r="151" spans="3:12">
      <c r="C151" s="193" t="s">
        <v>220</v>
      </c>
      <c r="D151" s="1499" t="s">
        <v>264</v>
      </c>
      <c r="E151" s="1499"/>
      <c r="F151" s="1499"/>
      <c r="G151" s="1499"/>
      <c r="H151" s="1499"/>
      <c r="I151" s="1499"/>
      <c r="J151" s="1499"/>
      <c r="K151" s="1499"/>
      <c r="L151" s="1500"/>
    </row>
    <row r="152" spans="3:12" ht="5.0999999999999996" customHeight="1">
      <c r="C152" s="138"/>
      <c r="D152" s="139"/>
      <c r="E152" s="139"/>
      <c r="F152" s="139"/>
      <c r="G152" s="139"/>
      <c r="H152" s="139"/>
      <c r="I152" s="139"/>
      <c r="J152" s="139"/>
      <c r="K152" s="139"/>
      <c r="L152" s="140"/>
    </row>
    <row r="153" spans="3:12">
      <c r="C153" s="141"/>
      <c r="D153" s="142"/>
      <c r="E153" s="1458">
        <f>'Bilan financier'!$C$17</f>
        <v>2017</v>
      </c>
      <c r="F153" s="1459"/>
      <c r="G153" s="1458">
        <f>'Bilan financier'!$D$17</f>
        <v>2018</v>
      </c>
      <c r="H153" s="1459"/>
      <c r="I153" s="1457">
        <f>'Bilan financier'!$E$17</f>
        <v>2019</v>
      </c>
      <c r="J153" s="1457"/>
      <c r="K153" s="143"/>
      <c r="L153" s="144"/>
    </row>
    <row r="154" spans="3:12" ht="5.0999999999999996" customHeight="1">
      <c r="C154" s="141"/>
      <c r="D154" s="876"/>
      <c r="E154" s="876"/>
      <c r="F154" s="876"/>
      <c r="G154" s="876"/>
      <c r="H154" s="876"/>
      <c r="I154" s="876"/>
      <c r="J154" s="876"/>
      <c r="K154" s="143"/>
      <c r="L154" s="144"/>
    </row>
    <row r="155" spans="3:12" ht="27.95" customHeight="1">
      <c r="C155" s="1537" t="s">
        <v>615</v>
      </c>
      <c r="D155" s="1538"/>
      <c r="E155" s="194" t="e">
        <f>(('Bilan financier'!$C$61+'Bilan financier'!$C$62)*365)/SUM(SIG!$G$14:$G$18)</f>
        <v>#DIV/0!</v>
      </c>
      <c r="F155" s="195" t="s">
        <v>241</v>
      </c>
      <c r="G155" s="194" t="e">
        <f>(('Bilan financier'!$D$61+'Bilan financier'!$D$62)*365)/SUM(SIG!$H$14:$H$18)</f>
        <v>#DIV/0!</v>
      </c>
      <c r="H155" s="195" t="s">
        <v>241</v>
      </c>
      <c r="I155" s="194" t="e">
        <f>(('Bilan financier'!$E$61+'Bilan financier'!$E$62)*365)/SUM(SIG!$I$14:$I$18)</f>
        <v>#DIV/0!</v>
      </c>
      <c r="J155" s="195" t="s">
        <v>241</v>
      </c>
      <c r="K155" s="145"/>
      <c r="L155" s="146"/>
    </row>
    <row r="156" spans="3:12" ht="27.95" customHeight="1">
      <c r="C156" s="1501" t="s">
        <v>600</v>
      </c>
      <c r="D156" s="1502"/>
      <c r="E156" s="544"/>
      <c r="F156" s="545"/>
      <c r="G156" s="196" t="e">
        <f>($G$155-$E$155)/ABS($E$155)</f>
        <v>#DIV/0!</v>
      </c>
      <c r="H156" s="197" t="e">
        <f>IF($G$155&lt;$E$155,"æ",IF($G$155&gt;$E$155,"ä","ó"))</f>
        <v>#DIV/0!</v>
      </c>
      <c r="I156" s="196" t="e">
        <f>($I$155-$G$155)/ABS($G$155)</f>
        <v>#DIV/0!</v>
      </c>
      <c r="J156" s="198" t="e">
        <f>IF($I$155&lt;$G$155,"æ",IF($I$155&gt;$G$155,"ä","ó"))</f>
        <v>#DIV/0!</v>
      </c>
      <c r="K156" s="145"/>
      <c r="L156" s="146"/>
    </row>
    <row r="157" spans="3:12" ht="17.25" thickBot="1">
      <c r="C157" s="147"/>
      <c r="D157" s="148"/>
      <c r="E157" s="148"/>
      <c r="F157" s="148"/>
      <c r="G157" s="148"/>
      <c r="H157" s="148"/>
      <c r="I157" s="148"/>
      <c r="J157" s="148"/>
      <c r="K157" s="149"/>
      <c r="L157" s="150"/>
    </row>
    <row r="158" spans="3:12" ht="17.25" thickBot="1">
      <c r="D158" s="133"/>
      <c r="E158" s="133"/>
      <c r="F158" s="133"/>
      <c r="G158" s="133"/>
      <c r="H158" s="133"/>
      <c r="I158" s="133"/>
      <c r="J158" s="133"/>
      <c r="K158" s="133"/>
      <c r="L158" s="133"/>
    </row>
    <row r="159" spans="3:12">
      <c r="C159" s="190" t="s">
        <v>608</v>
      </c>
      <c r="D159" s="1462" t="s">
        <v>384</v>
      </c>
      <c r="E159" s="1463"/>
      <c r="F159" s="1463"/>
      <c r="G159" s="1463"/>
      <c r="H159" s="1463"/>
      <c r="I159" s="1463"/>
      <c r="J159" s="1463"/>
      <c r="K159" s="1463"/>
      <c r="L159" s="1464"/>
    </row>
    <row r="160" spans="3:12">
      <c r="C160" s="191" t="s">
        <v>206</v>
      </c>
      <c r="D160" s="1471" t="s">
        <v>198</v>
      </c>
      <c r="E160" s="1472"/>
      <c r="F160" s="1472"/>
      <c r="G160" s="1472"/>
      <c r="H160" s="1472"/>
      <c r="I160" s="1472"/>
      <c r="J160" s="1472"/>
      <c r="K160" s="1472"/>
      <c r="L160" s="1473"/>
    </row>
    <row r="161" spans="3:12">
      <c r="C161" s="192" t="s">
        <v>147</v>
      </c>
      <c r="D161" s="1496" t="s">
        <v>252</v>
      </c>
      <c r="E161" s="1497"/>
      <c r="F161" s="1497"/>
      <c r="G161" s="1497"/>
      <c r="H161" s="1497"/>
      <c r="I161" s="1497"/>
      <c r="J161" s="1497"/>
      <c r="K161" s="1497"/>
      <c r="L161" s="1498"/>
    </row>
    <row r="162" spans="3:12">
      <c r="C162" s="193" t="s">
        <v>220</v>
      </c>
      <c r="D162" s="1499" t="s">
        <v>265</v>
      </c>
      <c r="E162" s="1499"/>
      <c r="F162" s="1499"/>
      <c r="G162" s="1499"/>
      <c r="H162" s="1499"/>
      <c r="I162" s="1499"/>
      <c r="J162" s="1499"/>
      <c r="K162" s="1499"/>
      <c r="L162" s="1500"/>
    </row>
    <row r="163" spans="3:12" ht="5.0999999999999996" customHeight="1">
      <c r="C163" s="138"/>
      <c r="D163" s="139"/>
      <c r="E163" s="139"/>
      <c r="F163" s="139"/>
      <c r="G163" s="139"/>
      <c r="H163" s="139"/>
      <c r="I163" s="139"/>
      <c r="J163" s="139"/>
      <c r="K163" s="139"/>
      <c r="L163" s="140"/>
    </row>
    <row r="164" spans="3:12">
      <c r="C164" s="141"/>
      <c r="D164" s="142"/>
      <c r="E164" s="1458">
        <f>'Bilan financier'!$C$17</f>
        <v>2017</v>
      </c>
      <c r="F164" s="1459"/>
      <c r="G164" s="1458">
        <f>'Bilan financier'!$D$17</f>
        <v>2018</v>
      </c>
      <c r="H164" s="1459"/>
      <c r="I164" s="1457">
        <f>'Bilan financier'!$E$17</f>
        <v>2019</v>
      </c>
      <c r="J164" s="1457"/>
      <c r="K164" s="143"/>
      <c r="L164" s="144"/>
    </row>
    <row r="165" spans="3:12" ht="5.0999999999999996" customHeight="1">
      <c r="C165" s="141"/>
      <c r="D165" s="876"/>
      <c r="E165" s="876"/>
      <c r="F165" s="876"/>
      <c r="G165" s="876"/>
      <c r="H165" s="876"/>
      <c r="I165" s="876"/>
      <c r="J165" s="876"/>
      <c r="K165" s="143"/>
      <c r="L165" s="144"/>
    </row>
    <row r="166" spans="3:12" ht="27.95" customHeight="1">
      <c r="C166" s="1537" t="s">
        <v>616</v>
      </c>
      <c r="D166" s="1538"/>
      <c r="E166" s="194" t="e">
        <f>('Bilan financier'!$G$59/SIG!$G$22)*365</f>
        <v>#DIV/0!</v>
      </c>
      <c r="F166" s="195" t="s">
        <v>241</v>
      </c>
      <c r="G166" s="194" t="e">
        <f>('Bilan financier'!$H$59/SIG!$H$22)*365</f>
        <v>#DIV/0!</v>
      </c>
      <c r="H166" s="195" t="s">
        <v>241</v>
      </c>
      <c r="I166" s="194" t="e">
        <f>('Bilan financier'!$I$59/SIG!$I$22)*365</f>
        <v>#DIV/0!</v>
      </c>
      <c r="J166" s="195" t="s">
        <v>241</v>
      </c>
      <c r="K166" s="145"/>
      <c r="L166" s="146"/>
    </row>
    <row r="167" spans="3:12" ht="27.95" customHeight="1">
      <c r="C167" s="1501" t="s">
        <v>599</v>
      </c>
      <c r="D167" s="1502"/>
      <c r="E167" s="546"/>
      <c r="F167" s="547"/>
      <c r="G167" s="196" t="e">
        <f>($G$166-$E$166)/ABS($E$166)</f>
        <v>#DIV/0!</v>
      </c>
      <c r="H167" s="199" t="e">
        <f>IF($G$166&lt;$E$166,"æ",IF($G$166&gt;$E$166,"ä","ó"))</f>
        <v>#DIV/0!</v>
      </c>
      <c r="I167" s="196" t="e">
        <f>($I$166-$G$166)/ABS($G$166)</f>
        <v>#DIV/0!</v>
      </c>
      <c r="J167" s="200" t="e">
        <f>IF($I$166&lt;$G$166,"æ",IF($I$166&gt;$G$166,"ä","ó"))</f>
        <v>#DIV/0!</v>
      </c>
      <c r="K167" s="145"/>
      <c r="L167" s="146"/>
    </row>
    <row r="168" spans="3:12" ht="17.25" thickBot="1">
      <c r="C168" s="147"/>
      <c r="D168" s="148"/>
      <c r="E168" s="148"/>
      <c r="F168" s="148"/>
      <c r="G168" s="148"/>
      <c r="H168" s="148"/>
      <c r="I168" s="148"/>
      <c r="J168" s="148"/>
      <c r="K168" s="149"/>
      <c r="L168" s="150"/>
    </row>
    <row r="169" spans="3:12" ht="17.25" thickBot="1">
      <c r="D169" s="133"/>
      <c r="E169" s="133"/>
      <c r="F169" s="133"/>
      <c r="G169" s="133"/>
      <c r="H169" s="133"/>
      <c r="I169" s="133"/>
      <c r="J169" s="133"/>
      <c r="K169" s="133"/>
      <c r="L169" s="133"/>
    </row>
    <row r="170" spans="3:12">
      <c r="C170" s="201" t="s">
        <v>608</v>
      </c>
      <c r="D170" s="1462" t="s">
        <v>328</v>
      </c>
      <c r="E170" s="1463"/>
      <c r="F170" s="1463"/>
      <c r="G170" s="1463"/>
      <c r="H170" s="1463"/>
      <c r="I170" s="1463"/>
      <c r="J170" s="1463"/>
      <c r="K170" s="1463"/>
      <c r="L170" s="1464"/>
    </row>
    <row r="171" spans="3:12">
      <c r="C171" s="202" t="s">
        <v>206</v>
      </c>
      <c r="D171" s="1471" t="s">
        <v>198</v>
      </c>
      <c r="E171" s="1472"/>
      <c r="F171" s="1472"/>
      <c r="G171" s="1472"/>
      <c r="H171" s="1472"/>
      <c r="I171" s="1472"/>
      <c r="J171" s="1472"/>
      <c r="K171" s="1472"/>
      <c r="L171" s="1473"/>
    </row>
    <row r="172" spans="3:12">
      <c r="C172" s="203" t="s">
        <v>147</v>
      </c>
      <c r="D172" s="1503" t="s">
        <v>520</v>
      </c>
      <c r="E172" s="1504"/>
      <c r="F172" s="1504"/>
      <c r="G172" s="1504"/>
      <c r="H172" s="1504"/>
      <c r="I172" s="1504"/>
      <c r="J172" s="1504"/>
      <c r="K172" s="1504"/>
      <c r="L172" s="1505"/>
    </row>
    <row r="173" spans="3:12">
      <c r="C173" s="204" t="s">
        <v>220</v>
      </c>
      <c r="D173" s="1506" t="s">
        <v>418</v>
      </c>
      <c r="E173" s="1506"/>
      <c r="F173" s="1506"/>
      <c r="G173" s="1506"/>
      <c r="H173" s="1506"/>
      <c r="I173" s="1506"/>
      <c r="J173" s="1506"/>
      <c r="K173" s="1506"/>
      <c r="L173" s="1507"/>
    </row>
    <row r="174" spans="3:12" ht="5.0999999999999996" customHeight="1">
      <c r="C174" s="138"/>
      <c r="D174" s="139"/>
      <c r="E174" s="139"/>
      <c r="F174" s="139"/>
      <c r="G174" s="139"/>
      <c r="H174" s="139"/>
      <c r="I174" s="139"/>
      <c r="J174" s="139"/>
      <c r="K174" s="139"/>
      <c r="L174" s="140"/>
    </row>
    <row r="175" spans="3:12">
      <c r="C175" s="141"/>
      <c r="D175" s="142"/>
      <c r="E175" s="1458">
        <f>'Bilan financier'!$C$17</f>
        <v>2017</v>
      </c>
      <c r="F175" s="1459"/>
      <c r="G175" s="1458">
        <f>'Bilan financier'!$D$17</f>
        <v>2018</v>
      </c>
      <c r="H175" s="1459"/>
      <c r="I175" s="1457">
        <f>'Bilan financier'!$E$17</f>
        <v>2019</v>
      </c>
      <c r="J175" s="1457"/>
      <c r="K175" s="143"/>
      <c r="L175" s="144"/>
    </row>
    <row r="176" spans="3:12" ht="5.0999999999999996" customHeight="1">
      <c r="C176" s="141"/>
      <c r="D176" s="876"/>
      <c r="E176" s="876"/>
      <c r="F176" s="876"/>
      <c r="G176" s="876"/>
      <c r="H176" s="876"/>
      <c r="I176" s="876"/>
      <c r="J176" s="876"/>
      <c r="K176" s="143"/>
      <c r="L176" s="144"/>
    </row>
    <row r="177" spans="3:12" ht="27.95" customHeight="1">
      <c r="C177" s="1460" t="s">
        <v>422</v>
      </c>
      <c r="D177" s="1461"/>
      <c r="E177" s="1540">
        <f>SIG!$G$33</f>
        <v>0</v>
      </c>
      <c r="F177" s="1541"/>
      <c r="G177" s="1540">
        <f>SIG!$H$33</f>
        <v>0</v>
      </c>
      <c r="H177" s="1541"/>
      <c r="I177" s="1540">
        <f>SIG!$I$33</f>
        <v>0</v>
      </c>
      <c r="J177" s="1541"/>
      <c r="K177" s="145"/>
      <c r="L177" s="146"/>
    </row>
    <row r="178" spans="3:12" ht="17.25" thickBot="1">
      <c r="C178" s="147"/>
      <c r="D178" s="148"/>
      <c r="E178" s="148"/>
      <c r="F178" s="148"/>
      <c r="G178" s="148"/>
      <c r="H178" s="148"/>
      <c r="I178" s="148"/>
      <c r="J178" s="148"/>
      <c r="K178" s="149"/>
      <c r="L178" s="150"/>
    </row>
    <row r="179" spans="3:12" ht="17.25" thickBot="1">
      <c r="C179" s="133"/>
      <c r="D179" s="133"/>
      <c r="E179" s="133"/>
      <c r="F179" s="133"/>
      <c r="G179" s="133"/>
      <c r="H179" s="133"/>
      <c r="I179" s="133"/>
      <c r="J179" s="133"/>
      <c r="K179" s="133"/>
      <c r="L179" s="133"/>
    </row>
    <row r="180" spans="3:12">
      <c r="C180" s="201" t="s">
        <v>608</v>
      </c>
      <c r="D180" s="1462" t="s">
        <v>328</v>
      </c>
      <c r="E180" s="1463"/>
      <c r="F180" s="1463"/>
      <c r="G180" s="1463"/>
      <c r="H180" s="1463"/>
      <c r="I180" s="1463"/>
      <c r="J180" s="1463"/>
      <c r="K180" s="1463"/>
      <c r="L180" s="1464"/>
    </row>
    <row r="181" spans="3:12">
      <c r="C181" s="202" t="s">
        <v>206</v>
      </c>
      <c r="D181" s="1471" t="s">
        <v>198</v>
      </c>
      <c r="E181" s="1472"/>
      <c r="F181" s="1472"/>
      <c r="G181" s="1472"/>
      <c r="H181" s="1472"/>
      <c r="I181" s="1472"/>
      <c r="J181" s="1472"/>
      <c r="K181" s="1472"/>
      <c r="L181" s="1473"/>
    </row>
    <row r="182" spans="3:12">
      <c r="C182" s="203" t="s">
        <v>147</v>
      </c>
      <c r="D182" s="1503" t="s">
        <v>225</v>
      </c>
      <c r="E182" s="1504"/>
      <c r="F182" s="1504"/>
      <c r="G182" s="1504"/>
      <c r="H182" s="1504"/>
      <c r="I182" s="1504"/>
      <c r="J182" s="1504"/>
      <c r="K182" s="1504"/>
      <c r="L182" s="1505"/>
    </row>
    <row r="183" spans="3:12">
      <c r="C183" s="204" t="s">
        <v>220</v>
      </c>
      <c r="D183" s="1506" t="s">
        <v>418</v>
      </c>
      <c r="E183" s="1506"/>
      <c r="F183" s="1506"/>
      <c r="G183" s="1506"/>
      <c r="H183" s="1506"/>
      <c r="I183" s="1506"/>
      <c r="J183" s="1506"/>
      <c r="K183" s="1506"/>
      <c r="L183" s="1507"/>
    </row>
    <row r="184" spans="3:12" ht="5.0999999999999996" customHeight="1">
      <c r="C184" s="138"/>
      <c r="D184" s="139"/>
      <c r="E184" s="139"/>
      <c r="F184" s="139"/>
      <c r="G184" s="139"/>
      <c r="H184" s="139"/>
      <c r="I184" s="139"/>
      <c r="J184" s="139"/>
      <c r="K184" s="139"/>
      <c r="L184" s="140"/>
    </row>
    <row r="185" spans="3:12">
      <c r="C185" s="141"/>
      <c r="D185" s="142"/>
      <c r="E185" s="1458">
        <f>'Bilan financier'!$C$17</f>
        <v>2017</v>
      </c>
      <c r="F185" s="1459"/>
      <c r="G185" s="1458">
        <f>'Bilan financier'!$D$17</f>
        <v>2018</v>
      </c>
      <c r="H185" s="1459"/>
      <c r="I185" s="1457">
        <f>'Bilan financier'!$E$17</f>
        <v>2019</v>
      </c>
      <c r="J185" s="1457"/>
      <c r="K185" s="143"/>
      <c r="L185" s="144"/>
    </row>
    <row r="186" spans="3:12" ht="5.0999999999999996" customHeight="1">
      <c r="C186" s="141"/>
      <c r="D186" s="876"/>
      <c r="E186" s="876"/>
      <c r="F186" s="876"/>
      <c r="G186" s="876"/>
      <c r="H186" s="876"/>
      <c r="I186" s="876"/>
      <c r="J186" s="876"/>
      <c r="K186" s="143"/>
      <c r="L186" s="144"/>
    </row>
    <row r="187" spans="3:12" ht="27.95" customHeight="1">
      <c r="C187" s="1460" t="s">
        <v>423</v>
      </c>
      <c r="D187" s="1461"/>
      <c r="E187" s="1540">
        <f>SIG!$G$42</f>
        <v>0</v>
      </c>
      <c r="F187" s="1541"/>
      <c r="G187" s="1540">
        <f>SIG!$H$42</f>
        <v>0</v>
      </c>
      <c r="H187" s="1541"/>
      <c r="I187" s="1540">
        <f>SIG!$I$42</f>
        <v>0</v>
      </c>
      <c r="J187" s="1541"/>
      <c r="K187" s="145"/>
      <c r="L187" s="146"/>
    </row>
    <row r="188" spans="3:12" ht="17.25" thickBot="1">
      <c r="C188" s="147"/>
      <c r="D188" s="148"/>
      <c r="E188" s="148"/>
      <c r="F188" s="148"/>
      <c r="G188" s="148"/>
      <c r="H188" s="148"/>
      <c r="I188" s="148"/>
      <c r="J188" s="148"/>
      <c r="K188" s="149"/>
      <c r="L188" s="150"/>
    </row>
    <row r="189" spans="3:12" ht="17.25" thickBot="1">
      <c r="C189" s="133"/>
      <c r="D189" s="133"/>
      <c r="E189" s="133"/>
      <c r="F189" s="133"/>
      <c r="G189" s="133"/>
      <c r="H189" s="133"/>
      <c r="I189" s="133"/>
      <c r="J189" s="133"/>
      <c r="K189" s="133"/>
      <c r="L189" s="133"/>
    </row>
    <row r="190" spans="3:12">
      <c r="C190" s="201" t="s">
        <v>608</v>
      </c>
      <c r="D190" s="1462" t="s">
        <v>328</v>
      </c>
      <c r="E190" s="1463"/>
      <c r="F190" s="1463"/>
      <c r="G190" s="1463"/>
      <c r="H190" s="1463"/>
      <c r="I190" s="1463"/>
      <c r="J190" s="1463"/>
      <c r="K190" s="1463"/>
      <c r="L190" s="1464"/>
    </row>
    <row r="191" spans="3:12">
      <c r="C191" s="202" t="s">
        <v>206</v>
      </c>
      <c r="D191" s="1471" t="s">
        <v>198</v>
      </c>
      <c r="E191" s="1472"/>
      <c r="F191" s="1472"/>
      <c r="G191" s="1472"/>
      <c r="H191" s="1472"/>
      <c r="I191" s="1472"/>
      <c r="J191" s="1472"/>
      <c r="K191" s="1472"/>
      <c r="L191" s="1473"/>
    </row>
    <row r="192" spans="3:12">
      <c r="C192" s="203" t="s">
        <v>147</v>
      </c>
      <c r="D192" s="1503" t="s">
        <v>344</v>
      </c>
      <c r="E192" s="1504"/>
      <c r="F192" s="1504"/>
      <c r="G192" s="1504"/>
      <c r="H192" s="1504"/>
      <c r="I192" s="1504"/>
      <c r="J192" s="1504"/>
      <c r="K192" s="1504"/>
      <c r="L192" s="1505"/>
    </row>
    <row r="193" spans="3:12">
      <c r="C193" s="204" t="s">
        <v>220</v>
      </c>
      <c r="D193" s="1506" t="s">
        <v>418</v>
      </c>
      <c r="E193" s="1506"/>
      <c r="F193" s="1506"/>
      <c r="G193" s="1506"/>
      <c r="H193" s="1506"/>
      <c r="I193" s="1506"/>
      <c r="J193" s="1506"/>
      <c r="K193" s="1506"/>
      <c r="L193" s="1507"/>
    </row>
    <row r="194" spans="3:12" ht="5.0999999999999996" customHeight="1">
      <c r="C194" s="138"/>
      <c r="D194" s="139"/>
      <c r="E194" s="139"/>
      <c r="F194" s="139"/>
      <c r="G194" s="139"/>
      <c r="H194" s="139"/>
      <c r="I194" s="139"/>
      <c r="J194" s="139"/>
      <c r="K194" s="139"/>
      <c r="L194" s="140"/>
    </row>
    <row r="195" spans="3:12">
      <c r="C195" s="141"/>
      <c r="D195" s="142"/>
      <c r="E195" s="1458">
        <f>'Bilan financier'!$C$17</f>
        <v>2017</v>
      </c>
      <c r="F195" s="1459"/>
      <c r="G195" s="1458">
        <f>'Bilan financier'!$D$17</f>
        <v>2018</v>
      </c>
      <c r="H195" s="1459"/>
      <c r="I195" s="1457">
        <f>'Bilan financier'!$E$17</f>
        <v>2019</v>
      </c>
      <c r="J195" s="1457"/>
      <c r="K195" s="143"/>
      <c r="L195" s="144"/>
    </row>
    <row r="196" spans="3:12" ht="5.0999999999999996" customHeight="1">
      <c r="C196" s="141"/>
      <c r="D196" s="876"/>
      <c r="E196" s="876"/>
      <c r="F196" s="876"/>
      <c r="G196" s="876"/>
      <c r="H196" s="876"/>
      <c r="I196" s="876"/>
      <c r="J196" s="876"/>
      <c r="K196" s="143"/>
      <c r="L196" s="144"/>
    </row>
    <row r="197" spans="3:12" ht="27.95" customHeight="1">
      <c r="C197" s="1460" t="s">
        <v>424</v>
      </c>
      <c r="D197" s="1461"/>
      <c r="E197" s="1542">
        <f>SIG!$G$50</f>
        <v>0</v>
      </c>
      <c r="F197" s="1543"/>
      <c r="G197" s="1542">
        <f>SIG!$H$50</f>
        <v>0</v>
      </c>
      <c r="H197" s="1543"/>
      <c r="I197" s="1542">
        <f>SIG!$I$50</f>
        <v>0</v>
      </c>
      <c r="J197" s="1543"/>
      <c r="K197" s="145"/>
      <c r="L197" s="146"/>
    </row>
    <row r="198" spans="3:12" ht="17.25" thickBot="1">
      <c r="C198" s="147"/>
      <c r="D198" s="148"/>
      <c r="E198" s="148"/>
      <c r="F198" s="148"/>
      <c r="G198" s="148"/>
      <c r="H198" s="148"/>
      <c r="I198" s="148"/>
      <c r="J198" s="148"/>
      <c r="K198" s="149"/>
      <c r="L198" s="150"/>
    </row>
    <row r="199" spans="3:12" ht="17.25" thickBot="1">
      <c r="C199" s="133"/>
      <c r="D199" s="133"/>
      <c r="E199" s="133"/>
      <c r="F199" s="133"/>
      <c r="G199" s="133"/>
      <c r="H199" s="133"/>
      <c r="I199" s="133"/>
      <c r="J199" s="133"/>
      <c r="K199" s="133"/>
      <c r="L199" s="133"/>
    </row>
    <row r="200" spans="3:12">
      <c r="C200" s="201" t="s">
        <v>608</v>
      </c>
      <c r="D200" s="1462" t="s">
        <v>328</v>
      </c>
      <c r="E200" s="1463"/>
      <c r="F200" s="1463"/>
      <c r="G200" s="1463"/>
      <c r="H200" s="1463"/>
      <c r="I200" s="1463"/>
      <c r="J200" s="1463"/>
      <c r="K200" s="1463"/>
      <c r="L200" s="1464"/>
    </row>
    <row r="201" spans="3:12">
      <c r="C201" s="202" t="s">
        <v>206</v>
      </c>
      <c r="D201" s="1471" t="s">
        <v>198</v>
      </c>
      <c r="E201" s="1472"/>
      <c r="F201" s="1472"/>
      <c r="G201" s="1472"/>
      <c r="H201" s="1472"/>
      <c r="I201" s="1472"/>
      <c r="J201" s="1472"/>
      <c r="K201" s="1472"/>
      <c r="L201" s="1473"/>
    </row>
    <row r="202" spans="3:12">
      <c r="C202" s="203" t="s">
        <v>147</v>
      </c>
      <c r="D202" s="1503" t="s">
        <v>345</v>
      </c>
      <c r="E202" s="1504"/>
      <c r="F202" s="1504"/>
      <c r="G202" s="1504"/>
      <c r="H202" s="1504"/>
      <c r="I202" s="1504"/>
      <c r="J202" s="1504"/>
      <c r="K202" s="1504"/>
      <c r="L202" s="1505"/>
    </row>
    <row r="203" spans="3:12">
      <c r="C203" s="204" t="s">
        <v>220</v>
      </c>
      <c r="D203" s="1506" t="s">
        <v>418</v>
      </c>
      <c r="E203" s="1506"/>
      <c r="F203" s="1506"/>
      <c r="G203" s="1506"/>
      <c r="H203" s="1506"/>
      <c r="I203" s="1506"/>
      <c r="J203" s="1506"/>
      <c r="K203" s="1506"/>
      <c r="L203" s="1507"/>
    </row>
    <row r="204" spans="3:12" ht="5.0999999999999996" customHeight="1">
      <c r="C204" s="138"/>
      <c r="D204" s="139"/>
      <c r="E204" s="139"/>
      <c r="F204" s="139"/>
      <c r="G204" s="139"/>
      <c r="H204" s="139"/>
      <c r="I204" s="139"/>
      <c r="J204" s="139"/>
      <c r="K204" s="139"/>
      <c r="L204" s="140"/>
    </row>
    <row r="205" spans="3:12">
      <c r="C205" s="141"/>
      <c r="D205" s="142"/>
      <c r="E205" s="1458">
        <f>'Bilan financier'!$C$17</f>
        <v>2017</v>
      </c>
      <c r="F205" s="1459"/>
      <c r="G205" s="1458">
        <f>'Bilan financier'!$D$17</f>
        <v>2018</v>
      </c>
      <c r="H205" s="1459"/>
      <c r="I205" s="1457">
        <f>'Bilan financier'!$E$17</f>
        <v>2019</v>
      </c>
      <c r="J205" s="1457"/>
      <c r="K205" s="143"/>
      <c r="L205" s="144"/>
    </row>
    <row r="206" spans="3:12" ht="5.0999999999999996" customHeight="1">
      <c r="C206" s="141"/>
      <c r="D206" s="876"/>
      <c r="E206" s="876"/>
      <c r="F206" s="876"/>
      <c r="G206" s="876"/>
      <c r="H206" s="876"/>
      <c r="I206" s="876"/>
      <c r="J206" s="876"/>
      <c r="K206" s="143"/>
      <c r="L206" s="144"/>
    </row>
    <row r="207" spans="3:12" ht="27.95" customHeight="1">
      <c r="C207" s="1460" t="s">
        <v>425</v>
      </c>
      <c r="D207" s="1461"/>
      <c r="E207" s="1542">
        <f>SIG!$G$59</f>
        <v>0</v>
      </c>
      <c r="F207" s="1543"/>
      <c r="G207" s="1542">
        <f>SIG!$H$59</f>
        <v>0</v>
      </c>
      <c r="H207" s="1543"/>
      <c r="I207" s="1542">
        <f>SIG!$I$59</f>
        <v>0</v>
      </c>
      <c r="J207" s="1543"/>
      <c r="K207" s="145"/>
      <c r="L207" s="146"/>
    </row>
    <row r="208" spans="3:12" ht="17.25" thickBot="1">
      <c r="C208" s="147"/>
      <c r="D208" s="148"/>
      <c r="E208" s="148"/>
      <c r="F208" s="148"/>
      <c r="G208" s="148"/>
      <c r="H208" s="148"/>
      <c r="I208" s="148"/>
      <c r="J208" s="148"/>
      <c r="K208" s="149"/>
      <c r="L208" s="150"/>
    </row>
    <row r="209" spans="3:12" ht="17.25" thickBot="1">
      <c r="C209" s="133"/>
      <c r="D209" s="133"/>
      <c r="E209" s="133"/>
      <c r="F209" s="133"/>
      <c r="G209" s="133"/>
      <c r="H209" s="133"/>
      <c r="I209" s="133"/>
      <c r="J209" s="133"/>
      <c r="K209" s="133"/>
      <c r="L209" s="133"/>
    </row>
    <row r="210" spans="3:12">
      <c r="C210" s="201" t="s">
        <v>608</v>
      </c>
      <c r="D210" s="1462" t="s">
        <v>328</v>
      </c>
      <c r="E210" s="1463"/>
      <c r="F210" s="1463"/>
      <c r="G210" s="1463"/>
      <c r="H210" s="1463"/>
      <c r="I210" s="1463"/>
      <c r="J210" s="1463"/>
      <c r="K210" s="1463"/>
      <c r="L210" s="1464"/>
    </row>
    <row r="211" spans="3:12">
      <c r="C211" s="202" t="s">
        <v>206</v>
      </c>
      <c r="D211" s="1471" t="s">
        <v>198</v>
      </c>
      <c r="E211" s="1472"/>
      <c r="F211" s="1472"/>
      <c r="G211" s="1472"/>
      <c r="H211" s="1472"/>
      <c r="I211" s="1472"/>
      <c r="J211" s="1472"/>
      <c r="K211" s="1472"/>
      <c r="L211" s="1473"/>
    </row>
    <row r="212" spans="3:12">
      <c r="C212" s="203" t="s">
        <v>147</v>
      </c>
      <c r="D212" s="1503" t="s">
        <v>330</v>
      </c>
      <c r="E212" s="1504"/>
      <c r="F212" s="1504"/>
      <c r="G212" s="1504"/>
      <c r="H212" s="1504"/>
      <c r="I212" s="1504"/>
      <c r="J212" s="1504"/>
      <c r="K212" s="1504"/>
      <c r="L212" s="1505"/>
    </row>
    <row r="213" spans="3:12">
      <c r="C213" s="204" t="s">
        <v>220</v>
      </c>
      <c r="D213" s="1506" t="s">
        <v>418</v>
      </c>
      <c r="E213" s="1506"/>
      <c r="F213" s="1506"/>
      <c r="G213" s="1506"/>
      <c r="H213" s="1506"/>
      <c r="I213" s="1506"/>
      <c r="J213" s="1506"/>
      <c r="K213" s="1506"/>
      <c r="L213" s="1507"/>
    </row>
    <row r="214" spans="3:12" ht="5.0999999999999996" customHeight="1">
      <c r="C214" s="138"/>
      <c r="D214" s="139"/>
      <c r="E214" s="139"/>
      <c r="F214" s="139"/>
      <c r="G214" s="139"/>
      <c r="H214" s="139"/>
      <c r="I214" s="139"/>
      <c r="J214" s="139"/>
      <c r="K214" s="139"/>
      <c r="L214" s="140"/>
    </row>
    <row r="215" spans="3:12">
      <c r="C215" s="141"/>
      <c r="D215" s="142"/>
      <c r="E215" s="1458">
        <f>'Bilan financier'!$C$17</f>
        <v>2017</v>
      </c>
      <c r="F215" s="1459"/>
      <c r="G215" s="1458">
        <f>'Bilan financier'!$D$17</f>
        <v>2018</v>
      </c>
      <c r="H215" s="1459"/>
      <c r="I215" s="1457">
        <f>'Bilan financier'!$E$17</f>
        <v>2019</v>
      </c>
      <c r="J215" s="1457"/>
      <c r="K215" s="143"/>
      <c r="L215" s="144"/>
    </row>
    <row r="216" spans="3:12" ht="5.0999999999999996" customHeight="1">
      <c r="C216" s="141"/>
      <c r="D216" s="876"/>
      <c r="E216" s="876"/>
      <c r="F216" s="876"/>
      <c r="G216" s="876"/>
      <c r="H216" s="876"/>
      <c r="I216" s="876"/>
      <c r="J216" s="876"/>
      <c r="K216" s="143"/>
      <c r="L216" s="144"/>
    </row>
    <row r="217" spans="3:12" ht="27.95" customHeight="1">
      <c r="C217" s="1460" t="s">
        <v>426</v>
      </c>
      <c r="D217" s="1461"/>
      <c r="E217" s="855">
        <f>SIG!G61</f>
        <v>0</v>
      </c>
      <c r="F217" s="205"/>
      <c r="G217" s="855">
        <f>SIG!H61</f>
        <v>0</v>
      </c>
      <c r="H217" s="206" t="str">
        <f>IF($G$217&lt;$E$217,"æ",IF($G$217&gt;$E$217,"ä","ó"))</f>
        <v>ó</v>
      </c>
      <c r="I217" s="855">
        <f>SIG!I61</f>
        <v>0</v>
      </c>
      <c r="J217" s="206" t="str">
        <f>IF($I$217&lt;$G$217,"æ",IF($I$217&gt;$G$217,"ä","ó"))</f>
        <v>ó</v>
      </c>
      <c r="K217" s="145"/>
      <c r="L217" s="146"/>
    </row>
    <row r="218" spans="3:12" ht="27.95" customHeight="1">
      <c r="C218" s="1488" t="s">
        <v>598</v>
      </c>
      <c r="D218" s="1489"/>
      <c r="E218" s="548"/>
      <c r="F218" s="549"/>
      <c r="G218" s="1490" t="e">
        <f>($G$217-$E$217)/ABS($E$217)</f>
        <v>#DIV/0!</v>
      </c>
      <c r="H218" s="1491"/>
      <c r="I218" s="1490" t="e">
        <f>($I$217-$G$217)/ABS($G$217)</f>
        <v>#DIV/0!</v>
      </c>
      <c r="J218" s="1492"/>
      <c r="K218" s="145"/>
      <c r="L218" s="146"/>
    </row>
    <row r="219" spans="3:12" ht="17.25" thickBot="1">
      <c r="C219" s="147"/>
      <c r="D219" s="148"/>
      <c r="E219" s="148"/>
      <c r="F219" s="148"/>
      <c r="G219" s="148"/>
      <c r="H219" s="148"/>
      <c r="I219" s="148"/>
      <c r="J219" s="148"/>
      <c r="K219" s="149"/>
      <c r="L219" s="150"/>
    </row>
    <row r="220" spans="3:12">
      <c r="C220" s="133"/>
      <c r="D220" s="133"/>
      <c r="E220" s="133"/>
      <c r="F220" s="133"/>
      <c r="G220" s="133"/>
      <c r="H220" s="133"/>
      <c r="I220" s="133"/>
      <c r="J220" s="133"/>
      <c r="K220" s="133"/>
      <c r="L220" s="133"/>
    </row>
    <row r="221" spans="3:12">
      <c r="C221" s="133"/>
      <c r="D221" s="133"/>
      <c r="E221" s="133"/>
      <c r="F221" s="133"/>
      <c r="G221" s="133"/>
      <c r="H221" s="133"/>
      <c r="I221" s="133"/>
      <c r="J221" s="133"/>
      <c r="K221" s="133"/>
      <c r="L221" s="133"/>
    </row>
    <row r="222" spans="3:12">
      <c r="C222" s="133"/>
      <c r="D222" s="133"/>
      <c r="E222" s="133"/>
      <c r="F222" s="133"/>
      <c r="G222" s="133"/>
      <c r="H222" s="133"/>
      <c r="I222" s="133"/>
      <c r="J222" s="133"/>
      <c r="K222" s="133"/>
      <c r="L222" s="133"/>
    </row>
    <row r="223" spans="3:12">
      <c r="C223" s="133"/>
      <c r="D223" s="133"/>
      <c r="E223" s="133"/>
      <c r="F223" s="133"/>
      <c r="G223" s="133"/>
      <c r="H223" s="133"/>
      <c r="I223" s="133"/>
      <c r="J223" s="133"/>
      <c r="K223" s="133"/>
      <c r="L223" s="133"/>
    </row>
    <row r="224" spans="3:12">
      <c r="C224" s="133"/>
      <c r="D224" s="133"/>
      <c r="E224" s="133"/>
      <c r="F224" s="133"/>
      <c r="G224" s="133"/>
      <c r="H224" s="133"/>
      <c r="I224" s="133"/>
      <c r="J224" s="133"/>
      <c r="K224" s="133"/>
      <c r="L224" s="133"/>
    </row>
    <row r="225" spans="3:12">
      <c r="C225" s="133"/>
      <c r="D225" s="133"/>
      <c r="E225" s="133"/>
      <c r="F225" s="133"/>
      <c r="G225" s="133"/>
      <c r="H225" s="133"/>
      <c r="I225" s="133"/>
      <c r="J225" s="133"/>
      <c r="K225" s="133"/>
      <c r="L225" s="133"/>
    </row>
    <row r="226" spans="3:12">
      <c r="C226" s="133"/>
      <c r="D226" s="133"/>
      <c r="E226" s="133"/>
      <c r="F226" s="133"/>
      <c r="G226" s="133"/>
      <c r="H226" s="133"/>
      <c r="I226" s="133"/>
      <c r="J226" s="133"/>
      <c r="K226" s="133"/>
      <c r="L226" s="133"/>
    </row>
    <row r="227" spans="3:12">
      <c r="C227" s="133"/>
      <c r="D227" s="133"/>
      <c r="E227" s="133"/>
      <c r="F227" s="133"/>
      <c r="G227" s="133"/>
      <c r="H227" s="133"/>
      <c r="I227" s="656"/>
      <c r="J227" s="133"/>
      <c r="K227" s="133"/>
      <c r="L227" s="133"/>
    </row>
    <row r="228" spans="3:12">
      <c r="C228" s="133"/>
      <c r="D228" s="133"/>
      <c r="E228" s="133"/>
      <c r="F228" s="133"/>
      <c r="G228" s="133"/>
      <c r="H228" s="133"/>
      <c r="I228" s="133"/>
      <c r="J228" s="133"/>
      <c r="K228" s="133"/>
      <c r="L228" s="133"/>
    </row>
    <row r="229" spans="3:12">
      <c r="C229" s="133"/>
      <c r="D229" s="133"/>
      <c r="E229" s="133"/>
      <c r="F229" s="133"/>
      <c r="G229" s="133"/>
      <c r="H229" s="133"/>
      <c r="I229" s="133"/>
      <c r="J229" s="133"/>
      <c r="K229" s="133"/>
      <c r="L229" s="133"/>
    </row>
    <row r="230" spans="3:12">
      <c r="C230" s="133"/>
      <c r="D230" s="133"/>
      <c r="E230" s="133"/>
      <c r="F230" s="133"/>
      <c r="G230" s="133"/>
      <c r="H230" s="133"/>
      <c r="I230" s="133"/>
      <c r="J230" s="133"/>
      <c r="K230" s="133"/>
      <c r="L230" s="133"/>
    </row>
    <row r="231" spans="3:12">
      <c r="C231" s="133"/>
      <c r="D231" s="133"/>
      <c r="E231" s="133"/>
      <c r="F231" s="133"/>
      <c r="G231" s="133"/>
      <c r="H231" s="133"/>
      <c r="I231" s="133"/>
      <c r="J231" s="133"/>
      <c r="K231" s="133"/>
      <c r="L231" s="133"/>
    </row>
    <row r="232" spans="3:12">
      <c r="C232" s="133"/>
      <c r="D232" s="133"/>
      <c r="E232" s="133"/>
      <c r="F232" s="133"/>
      <c r="G232" s="133"/>
      <c r="H232" s="133"/>
      <c r="I232" s="133"/>
      <c r="J232" s="133"/>
      <c r="K232" s="133"/>
      <c r="L232" s="133"/>
    </row>
    <row r="233" spans="3:12">
      <c r="C233" s="133"/>
      <c r="D233" s="133"/>
      <c r="E233" s="133"/>
      <c r="F233" s="133"/>
      <c r="G233" s="133"/>
      <c r="H233" s="133"/>
      <c r="I233" s="133"/>
      <c r="J233" s="133"/>
      <c r="K233" s="133"/>
      <c r="L233" s="133"/>
    </row>
    <row r="234" spans="3:12">
      <c r="C234" s="133"/>
      <c r="D234" s="133"/>
      <c r="E234" s="133"/>
      <c r="F234" s="133"/>
      <c r="G234" s="133"/>
      <c r="H234" s="133"/>
      <c r="I234" s="133"/>
      <c r="J234" s="133"/>
      <c r="K234" s="133"/>
      <c r="L234" s="133"/>
    </row>
    <row r="235" spans="3:12">
      <c r="C235" s="133"/>
      <c r="D235" s="133"/>
      <c r="E235" s="133"/>
      <c r="F235" s="133"/>
      <c r="G235" s="133"/>
      <c r="H235" s="133"/>
      <c r="I235" s="133"/>
      <c r="J235" s="133"/>
      <c r="K235" s="133"/>
      <c r="L235" s="133"/>
    </row>
    <row r="236" spans="3:12">
      <c r="C236" s="133"/>
      <c r="D236" s="133"/>
      <c r="E236" s="133"/>
      <c r="F236" s="133"/>
      <c r="G236" s="133"/>
      <c r="H236" s="133"/>
      <c r="I236" s="133"/>
      <c r="J236" s="133"/>
      <c r="K236" s="133"/>
      <c r="L236" s="133"/>
    </row>
    <row r="237" spans="3:12">
      <c r="C237" s="133"/>
      <c r="D237" s="133"/>
      <c r="E237" s="133"/>
      <c r="F237" s="133"/>
      <c r="G237" s="133"/>
      <c r="H237" s="133"/>
      <c r="I237" s="133"/>
      <c r="J237" s="133"/>
      <c r="K237" s="133"/>
      <c r="L237" s="133"/>
    </row>
    <row r="238" spans="3:12">
      <c r="C238" s="133"/>
      <c r="D238" s="133"/>
      <c r="E238" s="133"/>
      <c r="F238" s="133"/>
      <c r="G238" s="133"/>
      <c r="H238" s="133"/>
      <c r="I238" s="133"/>
      <c r="J238" s="133"/>
      <c r="K238" s="133"/>
      <c r="L238" s="133"/>
    </row>
    <row r="239" spans="3:12">
      <c r="C239" s="133"/>
      <c r="D239" s="133"/>
      <c r="E239" s="133"/>
      <c r="F239" s="133"/>
      <c r="G239" s="133"/>
      <c r="H239" s="133"/>
      <c r="I239" s="133"/>
      <c r="J239" s="133"/>
      <c r="K239" s="133"/>
      <c r="L239" s="133"/>
    </row>
    <row r="240" spans="3:12">
      <c r="C240" s="133"/>
      <c r="D240" s="133"/>
      <c r="E240" s="133"/>
      <c r="F240" s="133"/>
      <c r="G240" s="133"/>
      <c r="H240" s="133"/>
      <c r="I240" s="133"/>
      <c r="J240" s="133"/>
      <c r="K240" s="133"/>
      <c r="L240" s="133"/>
    </row>
    <row r="241" spans="3:12">
      <c r="C241" s="133"/>
      <c r="D241" s="133"/>
      <c r="E241" s="133"/>
      <c r="F241" s="133"/>
      <c r="G241" s="133"/>
      <c r="H241" s="133"/>
      <c r="I241" s="133"/>
      <c r="J241" s="133"/>
      <c r="K241" s="133"/>
      <c r="L241" s="133"/>
    </row>
    <row r="242" spans="3:12">
      <c r="C242" s="133"/>
      <c r="D242" s="133"/>
      <c r="E242" s="133"/>
      <c r="F242" s="133"/>
      <c r="G242" s="133"/>
      <c r="H242" s="133"/>
      <c r="I242" s="133"/>
      <c r="J242" s="133"/>
      <c r="K242" s="133"/>
      <c r="L242" s="133"/>
    </row>
    <row r="243" spans="3:12">
      <c r="C243" s="133"/>
      <c r="D243" s="133"/>
      <c r="E243" s="133"/>
      <c r="F243" s="133"/>
      <c r="G243" s="133"/>
      <c r="H243" s="133"/>
      <c r="I243" s="133"/>
      <c r="J243" s="133"/>
      <c r="K243" s="133"/>
      <c r="L243" s="133"/>
    </row>
    <row r="244" spans="3:12">
      <c r="C244" s="133"/>
      <c r="D244" s="133"/>
      <c r="E244" s="133"/>
      <c r="F244" s="133"/>
      <c r="G244" s="133"/>
      <c r="H244" s="133"/>
      <c r="I244" s="133"/>
      <c r="J244" s="133"/>
      <c r="K244" s="133"/>
      <c r="L244" s="133"/>
    </row>
    <row r="245" spans="3:12">
      <c r="C245" s="133"/>
      <c r="D245" s="133"/>
      <c r="E245" s="133"/>
      <c r="F245" s="133"/>
      <c r="G245" s="133"/>
      <c r="H245" s="133"/>
      <c r="I245" s="133"/>
      <c r="J245" s="133"/>
      <c r="K245" s="133"/>
      <c r="L245" s="133"/>
    </row>
    <row r="246" spans="3:12">
      <c r="C246" s="133"/>
      <c r="D246" s="133"/>
      <c r="E246" s="133"/>
      <c r="F246" s="133"/>
      <c r="G246" s="133"/>
      <c r="H246" s="133"/>
      <c r="I246" s="133"/>
      <c r="J246" s="133"/>
      <c r="K246" s="133"/>
      <c r="L246" s="133"/>
    </row>
    <row r="247" spans="3:12">
      <c r="C247" s="133"/>
      <c r="D247" s="133"/>
      <c r="E247" s="133"/>
      <c r="F247" s="133"/>
      <c r="G247" s="133"/>
      <c r="H247" s="133"/>
      <c r="I247" s="133"/>
      <c r="J247" s="133"/>
      <c r="K247" s="133"/>
      <c r="L247" s="133"/>
    </row>
    <row r="248" spans="3:12">
      <c r="C248" s="133"/>
      <c r="D248" s="133"/>
      <c r="E248" s="133"/>
      <c r="F248" s="133"/>
      <c r="G248" s="133"/>
      <c r="H248" s="133"/>
      <c r="I248" s="133"/>
      <c r="J248" s="133"/>
      <c r="K248" s="133"/>
      <c r="L248" s="133"/>
    </row>
    <row r="249" spans="3:12">
      <c r="C249" s="133"/>
      <c r="D249" s="133"/>
      <c r="E249" s="133"/>
      <c r="F249" s="133"/>
      <c r="G249" s="133"/>
      <c r="H249" s="133"/>
      <c r="I249" s="133"/>
      <c r="J249" s="133"/>
      <c r="K249" s="133"/>
      <c r="L249" s="133"/>
    </row>
    <row r="250" spans="3:12">
      <c r="C250" s="133"/>
      <c r="D250" s="133"/>
      <c r="E250" s="133"/>
      <c r="F250" s="133"/>
      <c r="G250" s="133"/>
      <c r="H250" s="133"/>
      <c r="I250" s="133"/>
      <c r="J250" s="133"/>
      <c r="K250" s="133"/>
      <c r="L250" s="133"/>
    </row>
    <row r="251" spans="3:12">
      <c r="C251" s="133"/>
      <c r="D251" s="133"/>
      <c r="E251" s="133"/>
      <c r="F251" s="133"/>
      <c r="G251" s="133"/>
      <c r="H251" s="133"/>
      <c r="I251" s="133"/>
      <c r="J251" s="133"/>
      <c r="K251" s="133"/>
      <c r="L251" s="133"/>
    </row>
    <row r="252" spans="3:12">
      <c r="C252" s="133"/>
      <c r="D252" s="133"/>
      <c r="E252" s="133"/>
      <c r="F252" s="133"/>
      <c r="G252" s="133"/>
      <c r="H252" s="133"/>
      <c r="I252" s="133"/>
      <c r="J252" s="133"/>
      <c r="K252" s="133"/>
      <c r="L252" s="133"/>
    </row>
    <row r="253" spans="3:12">
      <c r="C253" s="133"/>
      <c r="D253" s="133"/>
      <c r="E253" s="133"/>
      <c r="F253" s="133"/>
      <c r="G253" s="133"/>
      <c r="H253" s="133"/>
      <c r="I253" s="133"/>
      <c r="J253" s="133"/>
      <c r="K253" s="133"/>
      <c r="L253" s="133"/>
    </row>
    <row r="254" spans="3:12">
      <c r="C254" s="133"/>
      <c r="D254" s="133"/>
      <c r="E254" s="133"/>
      <c r="F254" s="133"/>
      <c r="G254" s="133"/>
      <c r="H254" s="133"/>
      <c r="I254" s="133"/>
      <c r="J254" s="133"/>
      <c r="K254" s="133"/>
      <c r="L254" s="133"/>
    </row>
    <row r="255" spans="3:12">
      <c r="C255" s="133"/>
      <c r="D255" s="133"/>
      <c r="E255" s="133"/>
      <c r="F255" s="133"/>
      <c r="G255" s="133"/>
      <c r="H255" s="133"/>
      <c r="I255" s="133"/>
      <c r="J255" s="133"/>
      <c r="K255" s="133"/>
      <c r="L255" s="133"/>
    </row>
    <row r="256" spans="3:12">
      <c r="C256" s="133"/>
      <c r="D256" s="133"/>
      <c r="E256" s="133"/>
      <c r="F256" s="133"/>
      <c r="G256" s="133"/>
      <c r="H256" s="133"/>
      <c r="I256" s="133"/>
      <c r="J256" s="133"/>
      <c r="K256" s="133"/>
      <c r="L256" s="133"/>
    </row>
    <row r="257" spans="3:12">
      <c r="C257" s="133"/>
      <c r="D257" s="133"/>
      <c r="E257" s="133"/>
      <c r="F257" s="133"/>
      <c r="G257" s="133"/>
      <c r="H257" s="133"/>
      <c r="I257" s="133"/>
      <c r="J257" s="133"/>
      <c r="K257" s="133"/>
      <c r="L257" s="133"/>
    </row>
    <row r="258" spans="3:12">
      <c r="C258" s="133"/>
      <c r="D258" s="133"/>
      <c r="E258" s="133"/>
      <c r="F258" s="133"/>
      <c r="G258" s="133"/>
      <c r="H258" s="133"/>
      <c r="I258" s="133"/>
      <c r="J258" s="133"/>
      <c r="K258" s="133"/>
      <c r="L258" s="133"/>
    </row>
    <row r="259" spans="3:12">
      <c r="C259" s="133"/>
      <c r="D259" s="133"/>
      <c r="E259" s="133"/>
      <c r="F259" s="133"/>
      <c r="G259" s="133"/>
      <c r="H259" s="133"/>
      <c r="I259" s="133"/>
      <c r="J259" s="133"/>
      <c r="K259" s="133"/>
      <c r="L259" s="133"/>
    </row>
    <row r="260" spans="3:12">
      <c r="C260" s="133"/>
      <c r="D260" s="133"/>
      <c r="E260" s="133"/>
      <c r="F260" s="133"/>
      <c r="G260" s="133"/>
      <c r="H260" s="133"/>
      <c r="I260" s="133"/>
      <c r="J260" s="133"/>
      <c r="K260" s="133"/>
      <c r="L260" s="133"/>
    </row>
    <row r="261" spans="3:12">
      <c r="C261" s="133"/>
      <c r="D261" s="133"/>
      <c r="E261" s="133"/>
      <c r="F261" s="133"/>
      <c r="G261" s="133"/>
      <c r="H261" s="133"/>
      <c r="I261" s="133"/>
      <c r="J261" s="133"/>
      <c r="K261" s="133"/>
      <c r="L261" s="133"/>
    </row>
    <row r="262" spans="3:12">
      <c r="C262" s="133"/>
      <c r="D262" s="133"/>
      <c r="E262" s="133"/>
      <c r="F262" s="133"/>
      <c r="G262" s="133"/>
      <c r="H262" s="133"/>
      <c r="I262" s="133"/>
      <c r="J262" s="133"/>
      <c r="K262" s="133"/>
      <c r="L262" s="133"/>
    </row>
    <row r="263" spans="3:12">
      <c r="C263" s="133"/>
      <c r="D263" s="133"/>
      <c r="E263" s="133"/>
      <c r="F263" s="133"/>
      <c r="G263" s="133"/>
      <c r="H263" s="133"/>
      <c r="I263" s="133"/>
      <c r="J263" s="133"/>
      <c r="K263" s="133"/>
      <c r="L263" s="133"/>
    </row>
    <row r="264" spans="3:12">
      <c r="C264" s="133"/>
      <c r="D264" s="133"/>
      <c r="E264" s="133"/>
      <c r="F264" s="133"/>
      <c r="G264" s="133"/>
      <c r="H264" s="133"/>
      <c r="I264" s="133"/>
      <c r="J264" s="133"/>
      <c r="K264" s="133"/>
      <c r="L264" s="133"/>
    </row>
    <row r="265" spans="3:12">
      <c r="C265" s="133"/>
      <c r="D265" s="133"/>
      <c r="E265" s="133"/>
      <c r="F265" s="133"/>
      <c r="G265" s="133"/>
      <c r="H265" s="133"/>
      <c r="I265" s="133"/>
      <c r="J265" s="133"/>
      <c r="K265" s="133"/>
      <c r="L265" s="133"/>
    </row>
    <row r="266" spans="3:12">
      <c r="C266" s="133"/>
      <c r="D266" s="133"/>
      <c r="E266" s="133"/>
      <c r="F266" s="133"/>
      <c r="G266" s="133"/>
      <c r="H266" s="133"/>
      <c r="I266" s="133"/>
      <c r="J266" s="133"/>
      <c r="K266" s="133"/>
      <c r="L266" s="133"/>
    </row>
    <row r="267" spans="3:12">
      <c r="C267" s="133"/>
      <c r="D267" s="133"/>
      <c r="E267" s="133"/>
      <c r="F267" s="133"/>
      <c r="G267" s="133"/>
      <c r="H267" s="133"/>
      <c r="I267" s="133"/>
      <c r="J267" s="133"/>
      <c r="K267" s="133"/>
      <c r="L267" s="133"/>
    </row>
    <row r="268" spans="3:12">
      <c r="C268" s="133"/>
      <c r="D268" s="133"/>
      <c r="E268" s="133"/>
      <c r="F268" s="133"/>
      <c r="G268" s="133"/>
      <c r="H268" s="133"/>
      <c r="I268" s="133"/>
      <c r="J268" s="133"/>
      <c r="K268" s="133"/>
      <c r="L268" s="133"/>
    </row>
    <row r="269" spans="3:12">
      <c r="C269" s="133"/>
      <c r="D269" s="133"/>
      <c r="E269" s="133"/>
      <c r="F269" s="133"/>
      <c r="G269" s="133"/>
      <c r="H269" s="133"/>
      <c r="I269" s="133"/>
      <c r="J269" s="133"/>
      <c r="K269" s="133"/>
      <c r="L269" s="133"/>
    </row>
    <row r="270" spans="3:12">
      <c r="C270" s="133"/>
      <c r="D270" s="133"/>
      <c r="E270" s="133"/>
      <c r="F270" s="133"/>
      <c r="G270" s="133"/>
      <c r="H270" s="133"/>
      <c r="I270" s="133"/>
      <c r="J270" s="133"/>
      <c r="K270" s="133"/>
      <c r="L270" s="133"/>
    </row>
    <row r="271" spans="3:12">
      <c r="C271" s="133"/>
      <c r="D271" s="133"/>
      <c r="E271" s="133"/>
      <c r="F271" s="133"/>
      <c r="G271" s="133"/>
      <c r="H271" s="133"/>
      <c r="I271" s="133"/>
      <c r="J271" s="133"/>
      <c r="K271" s="133"/>
      <c r="L271" s="133"/>
    </row>
    <row r="272" spans="3:12">
      <c r="C272" s="133"/>
      <c r="D272" s="133"/>
      <c r="E272" s="133"/>
      <c r="F272" s="133"/>
      <c r="G272" s="133"/>
      <c r="H272" s="133"/>
      <c r="I272" s="133"/>
      <c r="J272" s="133"/>
      <c r="K272" s="133"/>
      <c r="L272" s="133"/>
    </row>
    <row r="273" spans="3:12">
      <c r="C273" s="133"/>
      <c r="D273" s="133"/>
      <c r="E273" s="133"/>
      <c r="F273" s="133"/>
      <c r="G273" s="133"/>
      <c r="H273" s="133"/>
      <c r="I273" s="133"/>
      <c r="J273" s="133"/>
      <c r="K273" s="133"/>
      <c r="L273" s="133"/>
    </row>
    <row r="274" spans="3:12">
      <c r="C274" s="133"/>
      <c r="D274" s="133"/>
      <c r="E274" s="133"/>
      <c r="F274" s="133"/>
      <c r="G274" s="133"/>
      <c r="H274" s="133"/>
      <c r="I274" s="133"/>
      <c r="J274" s="133"/>
      <c r="K274" s="133"/>
      <c r="L274" s="133"/>
    </row>
    <row r="275" spans="3:12">
      <c r="C275" s="133"/>
      <c r="D275" s="133"/>
      <c r="E275" s="133"/>
      <c r="F275" s="133"/>
      <c r="G275" s="133"/>
      <c r="H275" s="133"/>
      <c r="I275" s="133"/>
      <c r="J275" s="133"/>
      <c r="K275" s="133"/>
      <c r="L275" s="133"/>
    </row>
    <row r="276" spans="3:12">
      <c r="C276" s="133"/>
      <c r="D276" s="133"/>
      <c r="E276" s="133"/>
      <c r="F276" s="133"/>
      <c r="G276" s="133"/>
      <c r="H276" s="133"/>
      <c r="I276" s="133"/>
      <c r="J276" s="133"/>
      <c r="K276" s="133"/>
      <c r="L276" s="133"/>
    </row>
    <row r="277" spans="3:12">
      <c r="C277" s="133"/>
      <c r="D277" s="133"/>
      <c r="E277" s="133"/>
      <c r="F277" s="133"/>
      <c r="G277" s="133"/>
      <c r="H277" s="133"/>
      <c r="I277" s="133"/>
      <c r="J277" s="133"/>
      <c r="K277" s="133"/>
      <c r="L277" s="133"/>
    </row>
    <row r="278" spans="3:12">
      <c r="C278" s="133"/>
      <c r="D278" s="133"/>
      <c r="E278" s="133"/>
      <c r="F278" s="133"/>
      <c r="G278" s="133"/>
      <c r="H278" s="133"/>
      <c r="I278" s="133"/>
      <c r="J278" s="133"/>
      <c r="K278" s="133"/>
      <c r="L278" s="133"/>
    </row>
    <row r="279" spans="3:12">
      <c r="C279" s="133"/>
      <c r="D279" s="133"/>
      <c r="E279" s="133"/>
      <c r="F279" s="133"/>
      <c r="G279" s="133"/>
      <c r="H279" s="133"/>
      <c r="I279" s="133"/>
      <c r="J279" s="133"/>
      <c r="K279" s="133"/>
      <c r="L279" s="133"/>
    </row>
    <row r="280" spans="3:12">
      <c r="C280" s="133"/>
      <c r="D280" s="133"/>
      <c r="E280" s="133"/>
      <c r="F280" s="133"/>
      <c r="G280" s="133"/>
      <c r="H280" s="133"/>
      <c r="I280" s="133"/>
      <c r="J280" s="133"/>
      <c r="K280" s="133"/>
      <c r="L280" s="133"/>
    </row>
    <row r="281" spans="3:12">
      <c r="C281" s="133"/>
      <c r="D281" s="133"/>
      <c r="E281" s="133"/>
      <c r="F281" s="133"/>
      <c r="G281" s="133"/>
      <c r="H281" s="133"/>
      <c r="I281" s="133"/>
      <c r="J281" s="133"/>
      <c r="K281" s="133"/>
      <c r="L281" s="133"/>
    </row>
    <row r="282" spans="3:12">
      <c r="C282" s="133"/>
      <c r="D282" s="133"/>
      <c r="E282" s="133"/>
      <c r="F282" s="133"/>
      <c r="G282" s="133"/>
      <c r="H282" s="133"/>
      <c r="I282" s="133"/>
      <c r="J282" s="133"/>
      <c r="K282" s="133"/>
      <c r="L282" s="133"/>
    </row>
    <row r="283" spans="3:12">
      <c r="C283" s="133"/>
      <c r="D283" s="133"/>
      <c r="E283" s="133"/>
      <c r="F283" s="133"/>
      <c r="G283" s="133"/>
      <c r="H283" s="133"/>
      <c r="I283" s="133"/>
      <c r="J283" s="133"/>
      <c r="K283" s="133"/>
      <c r="L283" s="133"/>
    </row>
    <row r="284" spans="3:12">
      <c r="C284" s="133"/>
      <c r="D284" s="133"/>
      <c r="E284" s="133"/>
      <c r="F284" s="133"/>
      <c r="G284" s="133"/>
      <c r="H284" s="133"/>
      <c r="I284" s="133"/>
      <c r="J284" s="133"/>
      <c r="K284" s="133"/>
      <c r="L284" s="133"/>
    </row>
    <row r="285" spans="3:12">
      <c r="C285" s="133"/>
      <c r="D285" s="133"/>
      <c r="E285" s="133"/>
      <c r="F285" s="133"/>
      <c r="G285" s="133"/>
      <c r="H285" s="133"/>
      <c r="I285" s="133"/>
      <c r="J285" s="133"/>
      <c r="K285" s="133"/>
      <c r="L285" s="133"/>
    </row>
    <row r="286" spans="3:12">
      <c r="C286" s="133"/>
      <c r="D286" s="133"/>
      <c r="E286" s="133"/>
      <c r="F286" s="133"/>
      <c r="G286" s="133"/>
      <c r="H286" s="133"/>
      <c r="I286" s="133"/>
      <c r="J286" s="133"/>
      <c r="K286" s="133"/>
      <c r="L286" s="133"/>
    </row>
    <row r="287" spans="3:12">
      <c r="C287" s="133"/>
      <c r="D287" s="133"/>
      <c r="E287" s="133"/>
      <c r="F287" s="133"/>
      <c r="G287" s="133"/>
      <c r="H287" s="133"/>
      <c r="I287" s="133"/>
      <c r="J287" s="133"/>
      <c r="K287" s="133"/>
      <c r="L287" s="133"/>
    </row>
    <row r="288" spans="3:12">
      <c r="C288" s="133"/>
      <c r="D288" s="133"/>
      <c r="E288" s="133"/>
      <c r="F288" s="133"/>
      <c r="G288" s="133"/>
      <c r="H288" s="133"/>
      <c r="I288" s="133"/>
      <c r="J288" s="133"/>
      <c r="K288" s="133"/>
      <c r="L288" s="133"/>
    </row>
    <row r="289" spans="3:12">
      <c r="C289" s="133"/>
      <c r="D289" s="133"/>
      <c r="E289" s="133"/>
      <c r="F289" s="133"/>
      <c r="G289" s="133"/>
      <c r="H289" s="133"/>
      <c r="I289" s="133"/>
      <c r="J289" s="133"/>
      <c r="K289" s="133"/>
      <c r="L289" s="133"/>
    </row>
    <row r="290" spans="3:12">
      <c r="C290" s="133"/>
      <c r="D290" s="133"/>
      <c r="E290" s="133"/>
      <c r="F290" s="133"/>
      <c r="G290" s="133"/>
      <c r="H290" s="133"/>
      <c r="I290" s="133"/>
      <c r="J290" s="133"/>
      <c r="K290" s="133"/>
      <c r="L290" s="133"/>
    </row>
    <row r="291" spans="3:12">
      <c r="C291" s="133"/>
      <c r="D291" s="133"/>
      <c r="E291" s="133"/>
      <c r="F291" s="133"/>
      <c r="G291" s="133"/>
      <c r="H291" s="133"/>
      <c r="I291" s="133"/>
      <c r="J291" s="133"/>
      <c r="K291" s="133"/>
      <c r="L291" s="133"/>
    </row>
    <row r="292" spans="3:12">
      <c r="C292" s="133"/>
      <c r="D292" s="133"/>
      <c r="E292" s="133"/>
      <c r="F292" s="133"/>
      <c r="G292" s="133"/>
      <c r="H292" s="133"/>
      <c r="I292" s="133"/>
      <c r="J292" s="133"/>
      <c r="K292" s="133"/>
      <c r="L292" s="133"/>
    </row>
    <row r="293" spans="3:12">
      <c r="C293" s="133"/>
      <c r="D293" s="133"/>
      <c r="E293" s="133"/>
      <c r="F293" s="133"/>
      <c r="G293" s="133"/>
      <c r="H293" s="133"/>
      <c r="I293" s="133"/>
      <c r="J293" s="133"/>
      <c r="K293" s="133"/>
      <c r="L293" s="133"/>
    </row>
    <row r="294" spans="3:12">
      <c r="C294" s="133"/>
      <c r="D294" s="133"/>
      <c r="E294" s="133"/>
      <c r="F294" s="133"/>
      <c r="G294" s="133"/>
      <c r="H294" s="133"/>
      <c r="I294" s="133"/>
      <c r="J294" s="133"/>
      <c r="K294" s="133"/>
      <c r="L294" s="133"/>
    </row>
    <row r="295" spans="3:12">
      <c r="C295" s="133"/>
      <c r="D295" s="133"/>
      <c r="E295" s="133"/>
      <c r="F295" s="133"/>
      <c r="G295" s="133"/>
      <c r="H295" s="133"/>
      <c r="I295" s="133"/>
      <c r="J295" s="133"/>
      <c r="K295" s="133"/>
      <c r="L295" s="133"/>
    </row>
    <row r="296" spans="3:12">
      <c r="C296" s="133"/>
      <c r="D296" s="133"/>
      <c r="E296" s="133"/>
      <c r="F296" s="133"/>
      <c r="G296" s="133"/>
      <c r="H296" s="133"/>
      <c r="I296" s="133"/>
      <c r="J296" s="133"/>
      <c r="K296" s="133"/>
      <c r="L296" s="133"/>
    </row>
    <row r="297" spans="3:12">
      <c r="C297" s="133"/>
      <c r="D297" s="133"/>
      <c r="E297" s="133"/>
      <c r="F297" s="133"/>
      <c r="G297" s="133"/>
      <c r="H297" s="133"/>
      <c r="I297" s="133"/>
      <c r="J297" s="133"/>
      <c r="K297" s="133"/>
      <c r="L297" s="133"/>
    </row>
    <row r="298" spans="3:12">
      <c r="C298" s="133"/>
      <c r="D298" s="133"/>
      <c r="E298" s="133"/>
      <c r="F298" s="133"/>
      <c r="G298" s="133"/>
      <c r="H298" s="133"/>
      <c r="I298" s="133"/>
      <c r="J298" s="133"/>
      <c r="K298" s="133"/>
      <c r="L298" s="133"/>
    </row>
    <row r="299" spans="3:12">
      <c r="C299" s="133"/>
      <c r="D299" s="133"/>
      <c r="E299" s="133"/>
      <c r="F299" s="133"/>
      <c r="G299" s="133"/>
      <c r="H299" s="133"/>
      <c r="I299" s="133"/>
      <c r="J299" s="133"/>
      <c r="K299" s="133"/>
      <c r="L299" s="133"/>
    </row>
    <row r="300" spans="3:12">
      <c r="C300" s="133"/>
      <c r="D300" s="133"/>
      <c r="E300" s="133"/>
      <c r="F300" s="133"/>
      <c r="G300" s="133"/>
      <c r="H300" s="133"/>
      <c r="I300" s="133"/>
      <c r="J300" s="133"/>
      <c r="K300" s="133"/>
      <c r="L300" s="133"/>
    </row>
    <row r="301" spans="3:12">
      <c r="C301" s="133"/>
      <c r="D301" s="133"/>
      <c r="E301" s="133"/>
      <c r="F301" s="133"/>
      <c r="G301" s="133"/>
      <c r="H301" s="133"/>
      <c r="I301" s="133"/>
      <c r="J301" s="133"/>
      <c r="K301" s="133"/>
      <c r="L301" s="133"/>
    </row>
    <row r="302" spans="3:12">
      <c r="C302" s="133"/>
      <c r="D302" s="133"/>
      <c r="E302" s="133"/>
      <c r="F302" s="133"/>
      <c r="G302" s="133"/>
      <c r="H302" s="133"/>
      <c r="I302" s="133"/>
      <c r="J302" s="133"/>
      <c r="K302" s="133"/>
      <c r="L302" s="133"/>
    </row>
    <row r="303" spans="3:12">
      <c r="C303" s="133"/>
      <c r="D303" s="133"/>
      <c r="E303" s="133"/>
      <c r="F303" s="133"/>
      <c r="G303" s="133"/>
      <c r="H303" s="133"/>
      <c r="I303" s="133"/>
      <c r="J303" s="133"/>
      <c r="K303" s="133"/>
      <c r="L303" s="133"/>
    </row>
    <row r="304" spans="3:12">
      <c r="C304" s="133"/>
      <c r="D304" s="133"/>
      <c r="E304" s="133"/>
      <c r="F304" s="133"/>
      <c r="G304" s="133"/>
      <c r="H304" s="133"/>
      <c r="I304" s="133"/>
      <c r="J304" s="133"/>
      <c r="K304" s="133"/>
      <c r="L304" s="133"/>
    </row>
    <row r="305" spans="3:12">
      <c r="C305" s="133"/>
      <c r="D305" s="133"/>
      <c r="E305" s="133"/>
      <c r="F305" s="133"/>
      <c r="G305" s="133"/>
      <c r="H305" s="133"/>
      <c r="I305" s="133"/>
      <c r="J305" s="133"/>
      <c r="K305" s="133"/>
      <c r="L305" s="133"/>
    </row>
    <row r="306" spans="3:12">
      <c r="C306" s="133"/>
      <c r="D306" s="133"/>
      <c r="E306" s="133"/>
      <c r="F306" s="133"/>
      <c r="G306" s="133"/>
      <c r="H306" s="133"/>
      <c r="I306" s="133"/>
      <c r="J306" s="133"/>
      <c r="K306" s="133"/>
      <c r="L306" s="133"/>
    </row>
    <row r="307" spans="3:12">
      <c r="C307" s="133"/>
      <c r="D307" s="133"/>
      <c r="E307" s="133"/>
      <c r="F307" s="133"/>
      <c r="G307" s="133"/>
      <c r="H307" s="133"/>
      <c r="I307" s="133"/>
      <c r="J307" s="133"/>
      <c r="K307" s="133"/>
      <c r="L307" s="133"/>
    </row>
    <row r="308" spans="3:12">
      <c r="C308" s="133"/>
      <c r="D308" s="133"/>
      <c r="E308" s="133"/>
      <c r="F308" s="133"/>
      <c r="G308" s="133"/>
      <c r="H308" s="133"/>
      <c r="I308" s="133"/>
      <c r="J308" s="133"/>
      <c r="K308" s="133"/>
      <c r="L308" s="133"/>
    </row>
    <row r="309" spans="3:12">
      <c r="C309" s="133"/>
      <c r="D309" s="133"/>
      <c r="E309" s="133"/>
      <c r="F309" s="133"/>
      <c r="G309" s="133"/>
      <c r="H309" s="133"/>
      <c r="I309" s="133"/>
      <c r="J309" s="133"/>
      <c r="K309" s="133"/>
      <c r="L309" s="133"/>
    </row>
    <row r="310" spans="3:12">
      <c r="C310" s="133"/>
      <c r="D310" s="133"/>
      <c r="E310" s="133"/>
      <c r="F310" s="133"/>
      <c r="G310" s="133"/>
      <c r="H310" s="133"/>
      <c r="I310" s="133"/>
      <c r="J310" s="133"/>
      <c r="K310" s="133"/>
      <c r="L310" s="133"/>
    </row>
    <row r="311" spans="3:12">
      <c r="C311" s="133"/>
      <c r="D311" s="133"/>
      <c r="E311" s="133"/>
      <c r="F311" s="133"/>
      <c r="G311" s="133"/>
      <c r="H311" s="133"/>
      <c r="I311" s="133"/>
      <c r="J311" s="133"/>
      <c r="K311" s="133"/>
      <c r="L311" s="133"/>
    </row>
    <row r="312" spans="3:12">
      <c r="C312" s="133"/>
      <c r="D312" s="133"/>
      <c r="E312" s="133"/>
      <c r="F312" s="133"/>
      <c r="G312" s="133"/>
      <c r="H312" s="133"/>
      <c r="I312" s="133"/>
      <c r="J312" s="133"/>
      <c r="K312" s="133"/>
      <c r="L312" s="133"/>
    </row>
    <row r="313" spans="3:12">
      <c r="C313" s="133"/>
      <c r="D313" s="133"/>
      <c r="E313" s="133"/>
      <c r="F313" s="133"/>
      <c r="G313" s="133"/>
      <c r="H313" s="133"/>
      <c r="I313" s="133"/>
      <c r="J313" s="133"/>
      <c r="K313" s="133"/>
      <c r="L313" s="133"/>
    </row>
    <row r="314" spans="3:12">
      <c r="C314" s="133"/>
      <c r="D314" s="133"/>
      <c r="E314" s="133"/>
      <c r="F314" s="133"/>
      <c r="G314" s="133"/>
      <c r="H314" s="133"/>
      <c r="I314" s="133"/>
      <c r="J314" s="133"/>
      <c r="K314" s="133"/>
      <c r="L314" s="133"/>
    </row>
    <row r="315" spans="3:12">
      <c r="C315" s="133"/>
      <c r="D315" s="133"/>
      <c r="E315" s="133"/>
      <c r="F315" s="133"/>
      <c r="G315" s="133"/>
      <c r="H315" s="133"/>
      <c r="I315" s="133"/>
      <c r="J315" s="133"/>
      <c r="K315" s="133"/>
      <c r="L315" s="133"/>
    </row>
    <row r="316" spans="3:12">
      <c r="C316" s="133"/>
      <c r="D316" s="133"/>
      <c r="E316" s="133"/>
      <c r="F316" s="133"/>
      <c r="G316" s="133"/>
      <c r="H316" s="133"/>
      <c r="I316" s="133"/>
      <c r="J316" s="133"/>
      <c r="K316" s="133"/>
      <c r="L316" s="133"/>
    </row>
    <row r="317" spans="3:12">
      <c r="C317" s="133"/>
      <c r="D317" s="133"/>
      <c r="E317" s="133"/>
      <c r="F317" s="133"/>
      <c r="G317" s="133"/>
      <c r="H317" s="133"/>
      <c r="I317" s="133"/>
      <c r="J317" s="133"/>
      <c r="K317" s="133"/>
      <c r="L317" s="133"/>
    </row>
    <row r="318" spans="3:12">
      <c r="C318" s="133"/>
      <c r="D318" s="133"/>
      <c r="E318" s="133"/>
      <c r="F318" s="133"/>
      <c r="G318" s="133"/>
      <c r="H318" s="133"/>
      <c r="I318" s="133"/>
      <c r="J318" s="133"/>
      <c r="K318" s="133"/>
      <c r="L318" s="133"/>
    </row>
    <row r="319" spans="3:12">
      <c r="C319" s="133"/>
      <c r="D319" s="133"/>
      <c r="E319" s="133"/>
      <c r="F319" s="133"/>
      <c r="G319" s="133"/>
      <c r="H319" s="133"/>
      <c r="I319" s="133"/>
      <c r="J319" s="133"/>
      <c r="K319" s="133"/>
      <c r="L319" s="133"/>
    </row>
    <row r="320" spans="3:12">
      <c r="C320" s="133"/>
      <c r="D320" s="133"/>
      <c r="E320" s="133"/>
      <c r="F320" s="133"/>
      <c r="G320" s="133"/>
      <c r="H320" s="133"/>
      <c r="I320" s="133"/>
      <c r="J320" s="133"/>
      <c r="K320" s="133"/>
      <c r="L320" s="133"/>
    </row>
    <row r="321" spans="3:12">
      <c r="C321" s="133"/>
      <c r="D321" s="133"/>
      <c r="E321" s="133"/>
      <c r="F321" s="133"/>
      <c r="G321" s="133"/>
      <c r="H321" s="133"/>
      <c r="I321" s="133"/>
      <c r="J321" s="133"/>
      <c r="K321" s="133"/>
      <c r="L321" s="133"/>
    </row>
    <row r="322" spans="3:12">
      <c r="C322" s="133"/>
      <c r="D322" s="133"/>
      <c r="E322" s="133"/>
      <c r="F322" s="133"/>
      <c r="G322" s="133"/>
      <c r="H322" s="133"/>
      <c r="I322" s="133"/>
      <c r="J322" s="133"/>
      <c r="K322" s="133"/>
      <c r="L322" s="133"/>
    </row>
    <row r="323" spans="3:12">
      <c r="C323" s="133"/>
      <c r="D323" s="133"/>
      <c r="E323" s="133"/>
      <c r="F323" s="133"/>
      <c r="G323" s="133"/>
      <c r="H323" s="133"/>
      <c r="I323" s="133"/>
      <c r="J323" s="133"/>
      <c r="K323" s="133"/>
      <c r="L323" s="133"/>
    </row>
    <row r="324" spans="3:12">
      <c r="C324" s="133"/>
      <c r="D324" s="133"/>
      <c r="E324" s="133"/>
      <c r="F324" s="133"/>
      <c r="G324" s="133"/>
      <c r="H324" s="133"/>
      <c r="I324" s="133"/>
      <c r="J324" s="133"/>
      <c r="K324" s="133"/>
      <c r="L324" s="133"/>
    </row>
    <row r="325" spans="3:12">
      <c r="C325" s="133"/>
      <c r="D325" s="133"/>
      <c r="E325" s="133"/>
      <c r="F325" s="133"/>
      <c r="G325" s="133"/>
      <c r="H325" s="133"/>
      <c r="I325" s="133"/>
      <c r="J325" s="133"/>
      <c r="K325" s="133"/>
      <c r="L325" s="133"/>
    </row>
    <row r="326" spans="3:12">
      <c r="C326" s="133"/>
      <c r="D326" s="133"/>
      <c r="E326" s="133"/>
      <c r="F326" s="133"/>
      <c r="G326" s="133"/>
      <c r="H326" s="133"/>
      <c r="I326" s="133"/>
      <c r="J326" s="133"/>
      <c r="K326" s="133"/>
      <c r="L326" s="133"/>
    </row>
    <row r="327" spans="3:12">
      <c r="C327" s="133"/>
      <c r="D327" s="133"/>
      <c r="E327" s="133"/>
      <c r="F327" s="133"/>
      <c r="G327" s="133"/>
      <c r="H327" s="133"/>
      <c r="I327" s="133"/>
      <c r="J327" s="133"/>
      <c r="K327" s="133"/>
      <c r="L327" s="133"/>
    </row>
    <row r="328" spans="3:12">
      <c r="C328" s="133"/>
      <c r="D328" s="133"/>
      <c r="E328" s="133"/>
      <c r="F328" s="133"/>
      <c r="G328" s="133"/>
      <c r="H328" s="133"/>
      <c r="I328" s="133"/>
      <c r="J328" s="133"/>
      <c r="K328" s="133"/>
      <c r="L328" s="133"/>
    </row>
    <row r="329" spans="3:12">
      <c r="C329" s="133"/>
      <c r="D329" s="133"/>
      <c r="E329" s="133"/>
      <c r="F329" s="133"/>
      <c r="G329" s="133"/>
      <c r="H329" s="133"/>
      <c r="I329" s="133"/>
      <c r="J329" s="133"/>
      <c r="K329" s="133"/>
      <c r="L329" s="133"/>
    </row>
    <row r="330" spans="3:12">
      <c r="C330" s="133"/>
      <c r="D330" s="133"/>
      <c r="E330" s="133"/>
      <c r="F330" s="133"/>
      <c r="G330" s="133"/>
      <c r="H330" s="133"/>
      <c r="I330" s="133"/>
      <c r="J330" s="133"/>
      <c r="K330" s="133"/>
      <c r="L330" s="133"/>
    </row>
    <row r="331" spans="3:12">
      <c r="C331" s="133"/>
      <c r="D331" s="133"/>
      <c r="E331" s="133"/>
      <c r="F331" s="133"/>
      <c r="G331" s="133"/>
      <c r="H331" s="133"/>
      <c r="I331" s="133"/>
      <c r="J331" s="133"/>
      <c r="K331" s="133"/>
      <c r="L331" s="133"/>
    </row>
    <row r="332" spans="3:12">
      <c r="C332" s="133"/>
      <c r="D332" s="133"/>
      <c r="E332" s="133"/>
      <c r="F332" s="133"/>
      <c r="G332" s="133"/>
      <c r="H332" s="133"/>
      <c r="I332" s="133"/>
      <c r="J332" s="133"/>
      <c r="K332" s="133"/>
      <c r="L332" s="133"/>
    </row>
    <row r="333" spans="3:12">
      <c r="C333" s="133"/>
      <c r="D333" s="133"/>
      <c r="E333" s="133"/>
      <c r="F333" s="133"/>
      <c r="G333" s="133"/>
      <c r="H333" s="133"/>
      <c r="I333" s="133"/>
      <c r="J333" s="133"/>
      <c r="K333" s="133"/>
      <c r="L333" s="133"/>
    </row>
    <row r="334" spans="3:12">
      <c r="C334" s="133"/>
      <c r="D334" s="133"/>
      <c r="E334" s="133"/>
      <c r="F334" s="133"/>
      <c r="G334" s="133"/>
      <c r="H334" s="133"/>
      <c r="I334" s="133"/>
      <c r="J334" s="133"/>
      <c r="K334" s="133"/>
      <c r="L334" s="133"/>
    </row>
    <row r="335" spans="3:12">
      <c r="C335" s="133"/>
      <c r="D335" s="133"/>
      <c r="E335" s="133"/>
      <c r="F335" s="133"/>
      <c r="G335" s="133"/>
      <c r="H335" s="133"/>
      <c r="I335" s="133"/>
      <c r="J335" s="133"/>
      <c r="K335" s="133"/>
      <c r="L335" s="133"/>
    </row>
    <row r="336" spans="3:12">
      <c r="C336" s="133"/>
      <c r="D336" s="133"/>
      <c r="E336" s="133"/>
      <c r="F336" s="133"/>
      <c r="G336" s="133"/>
      <c r="H336" s="133"/>
      <c r="I336" s="133"/>
      <c r="J336" s="133"/>
      <c r="K336" s="133"/>
      <c r="L336" s="133"/>
    </row>
    <row r="337" spans="3:12">
      <c r="C337" s="133"/>
      <c r="D337" s="133"/>
      <c r="E337" s="133"/>
      <c r="F337" s="133"/>
      <c r="G337" s="133"/>
      <c r="H337" s="133"/>
      <c r="I337" s="133"/>
      <c r="J337" s="133"/>
      <c r="K337" s="133"/>
      <c r="L337" s="133"/>
    </row>
    <row r="338" spans="3:12">
      <c r="C338" s="133"/>
      <c r="D338" s="133"/>
      <c r="E338" s="133"/>
      <c r="F338" s="133"/>
      <c r="G338" s="133"/>
      <c r="H338" s="133"/>
      <c r="I338" s="133"/>
      <c r="J338" s="133"/>
      <c r="K338" s="133"/>
      <c r="L338" s="133"/>
    </row>
    <row r="339" spans="3:12">
      <c r="C339" s="133"/>
      <c r="D339" s="133"/>
      <c r="E339" s="133"/>
      <c r="F339" s="133"/>
      <c r="G339" s="133"/>
      <c r="H339" s="133"/>
      <c r="I339" s="133"/>
      <c r="J339" s="133"/>
      <c r="K339" s="133"/>
      <c r="L339" s="133"/>
    </row>
    <row r="340" spans="3:12">
      <c r="C340" s="133"/>
      <c r="D340" s="133"/>
      <c r="E340" s="133"/>
      <c r="F340" s="133"/>
      <c r="G340" s="133"/>
      <c r="H340" s="133"/>
      <c r="I340" s="133"/>
      <c r="J340" s="133"/>
      <c r="K340" s="133"/>
      <c r="L340" s="133"/>
    </row>
    <row r="341" spans="3:12">
      <c r="C341" s="133"/>
      <c r="D341" s="133"/>
      <c r="E341" s="133"/>
      <c r="F341" s="133"/>
      <c r="G341" s="133"/>
      <c r="H341" s="133"/>
      <c r="I341" s="133"/>
      <c r="J341" s="133"/>
      <c r="K341" s="133"/>
      <c r="L341" s="133"/>
    </row>
    <row r="342" spans="3:12">
      <c r="C342" s="133"/>
      <c r="D342" s="133"/>
      <c r="E342" s="133"/>
      <c r="F342" s="133"/>
      <c r="G342" s="133"/>
      <c r="H342" s="133"/>
      <c r="I342" s="133"/>
      <c r="J342" s="133"/>
      <c r="K342" s="133"/>
      <c r="L342" s="133"/>
    </row>
    <row r="343" spans="3:12">
      <c r="C343" s="133"/>
      <c r="D343" s="133"/>
      <c r="E343" s="133"/>
      <c r="F343" s="133"/>
      <c r="G343" s="133"/>
      <c r="H343" s="133"/>
      <c r="I343" s="133"/>
      <c r="J343" s="133"/>
      <c r="K343" s="133"/>
      <c r="L343" s="133"/>
    </row>
    <row r="344" spans="3:12">
      <c r="C344" s="133"/>
      <c r="D344" s="133"/>
      <c r="E344" s="133"/>
      <c r="F344" s="133"/>
      <c r="G344" s="133"/>
      <c r="H344" s="133"/>
      <c r="I344" s="133"/>
      <c r="J344" s="133"/>
      <c r="K344" s="133"/>
      <c r="L344" s="133"/>
    </row>
    <row r="345" spans="3:12">
      <c r="C345" s="133"/>
      <c r="D345" s="133"/>
      <c r="E345" s="133"/>
      <c r="F345" s="133"/>
      <c r="G345" s="133"/>
      <c r="H345" s="133"/>
      <c r="I345" s="133"/>
      <c r="J345" s="133"/>
      <c r="K345" s="133"/>
      <c r="L345" s="133"/>
    </row>
    <row r="346" spans="3:12">
      <c r="C346" s="133"/>
      <c r="D346" s="133"/>
      <c r="E346" s="133"/>
      <c r="F346" s="133"/>
      <c r="G346" s="133"/>
      <c r="H346" s="133"/>
      <c r="I346" s="133"/>
      <c r="J346" s="133"/>
      <c r="K346" s="133"/>
      <c r="L346" s="133"/>
    </row>
    <row r="347" spans="3:12">
      <c r="C347" s="133"/>
      <c r="D347" s="133"/>
      <c r="E347" s="133"/>
      <c r="F347" s="133"/>
      <c r="G347" s="133"/>
      <c r="H347" s="133"/>
      <c r="I347" s="133"/>
      <c r="J347" s="133"/>
      <c r="K347" s="133"/>
      <c r="L347" s="133"/>
    </row>
    <row r="348" spans="3:12">
      <c r="C348" s="133"/>
      <c r="D348" s="133"/>
      <c r="E348" s="133"/>
      <c r="F348" s="133"/>
      <c r="G348" s="133"/>
      <c r="H348" s="133"/>
      <c r="I348" s="133"/>
      <c r="J348" s="133"/>
      <c r="K348" s="133"/>
      <c r="L348" s="133"/>
    </row>
    <row r="349" spans="3:12">
      <c r="C349" s="133"/>
      <c r="D349" s="133"/>
      <c r="E349" s="133"/>
      <c r="F349" s="133"/>
      <c r="G349" s="133"/>
      <c r="H349" s="133"/>
      <c r="I349" s="133"/>
      <c r="J349" s="133"/>
      <c r="K349" s="133"/>
      <c r="L349" s="133"/>
    </row>
    <row r="350" spans="3:12">
      <c r="C350" s="133"/>
      <c r="D350" s="133"/>
      <c r="E350" s="133"/>
      <c r="F350" s="133"/>
      <c r="G350" s="133"/>
      <c r="H350" s="133"/>
      <c r="I350" s="133"/>
      <c r="J350" s="133"/>
      <c r="K350" s="133"/>
      <c r="L350" s="133"/>
    </row>
    <row r="351" spans="3:12">
      <c r="C351" s="133"/>
      <c r="D351" s="133"/>
      <c r="E351" s="133"/>
      <c r="F351" s="133"/>
      <c r="G351" s="133"/>
      <c r="H351" s="133"/>
      <c r="I351" s="133"/>
      <c r="J351" s="133"/>
      <c r="K351" s="133"/>
      <c r="L351" s="133"/>
    </row>
    <row r="352" spans="3:12">
      <c r="C352" s="133"/>
      <c r="D352" s="133"/>
      <c r="E352" s="133"/>
      <c r="F352" s="133"/>
      <c r="G352" s="133"/>
      <c r="H352" s="133"/>
      <c r="I352" s="133"/>
      <c r="J352" s="133"/>
      <c r="K352" s="133"/>
      <c r="L352" s="133"/>
    </row>
    <row r="353" spans="3:12">
      <c r="C353" s="133"/>
      <c r="D353" s="133"/>
      <c r="E353" s="133"/>
      <c r="F353" s="133"/>
      <c r="G353" s="133"/>
      <c r="H353" s="133"/>
      <c r="I353" s="133"/>
      <c r="J353" s="133"/>
      <c r="K353" s="133"/>
      <c r="L353" s="133"/>
    </row>
    <row r="354" spans="3:12">
      <c r="C354" s="133"/>
      <c r="D354" s="133"/>
      <c r="E354" s="133"/>
      <c r="F354" s="133"/>
      <c r="G354" s="133"/>
      <c r="H354" s="133"/>
      <c r="I354" s="133"/>
      <c r="J354" s="133"/>
      <c r="K354" s="133"/>
      <c r="L354" s="133"/>
    </row>
    <row r="355" spans="3:12">
      <c r="C355" s="133"/>
      <c r="D355" s="133"/>
      <c r="E355" s="133"/>
      <c r="F355" s="133"/>
      <c r="G355" s="133"/>
      <c r="H355" s="133"/>
      <c r="I355" s="133"/>
      <c r="J355" s="133"/>
      <c r="K355" s="133"/>
      <c r="L355" s="133"/>
    </row>
    <row r="356" spans="3:12">
      <c r="C356" s="133"/>
      <c r="D356" s="133"/>
      <c r="E356" s="133"/>
      <c r="F356" s="133"/>
      <c r="G356" s="133"/>
      <c r="H356" s="133"/>
      <c r="I356" s="133"/>
      <c r="J356" s="133"/>
      <c r="K356" s="133"/>
      <c r="L356" s="133"/>
    </row>
    <row r="357" spans="3:12">
      <c r="C357" s="133"/>
      <c r="D357" s="133"/>
      <c r="E357" s="133"/>
      <c r="F357" s="133"/>
      <c r="G357" s="133"/>
      <c r="H357" s="133"/>
      <c r="I357" s="133"/>
      <c r="J357" s="133"/>
      <c r="K357" s="133"/>
      <c r="L357" s="133"/>
    </row>
    <row r="358" spans="3:12">
      <c r="C358" s="133"/>
      <c r="D358" s="133"/>
      <c r="E358" s="133"/>
      <c r="F358" s="133"/>
      <c r="G358" s="133"/>
      <c r="H358" s="133"/>
      <c r="I358" s="133"/>
      <c r="J358" s="133"/>
      <c r="K358" s="133"/>
      <c r="L358" s="133"/>
    </row>
    <row r="359" spans="3:12">
      <c r="C359" s="133"/>
      <c r="D359" s="133"/>
      <c r="E359" s="133"/>
      <c r="F359" s="133"/>
      <c r="G359" s="133"/>
      <c r="H359" s="133"/>
      <c r="I359" s="133"/>
      <c r="J359" s="133"/>
      <c r="K359" s="133"/>
      <c r="L359" s="133"/>
    </row>
    <row r="360" spans="3:12">
      <c r="C360" s="133"/>
      <c r="D360" s="133"/>
      <c r="E360" s="133"/>
      <c r="F360" s="133"/>
      <c r="G360" s="133"/>
      <c r="H360" s="133"/>
      <c r="I360" s="133"/>
      <c r="J360" s="133"/>
      <c r="K360" s="133"/>
      <c r="L360" s="133"/>
    </row>
    <row r="361" spans="3:12">
      <c r="C361" s="133"/>
      <c r="D361" s="133"/>
      <c r="E361" s="133"/>
      <c r="F361" s="133"/>
      <c r="G361" s="133"/>
      <c r="H361" s="133"/>
      <c r="I361" s="133"/>
      <c r="J361" s="133"/>
      <c r="K361" s="133"/>
      <c r="L361" s="133"/>
    </row>
    <row r="362" spans="3:12">
      <c r="C362" s="133"/>
      <c r="D362" s="133"/>
      <c r="E362" s="133"/>
      <c r="F362" s="133"/>
      <c r="G362" s="133"/>
      <c r="H362" s="133"/>
      <c r="I362" s="133"/>
      <c r="J362" s="133"/>
      <c r="K362" s="133"/>
      <c r="L362" s="133"/>
    </row>
    <row r="363" spans="3:12">
      <c r="C363" s="133"/>
      <c r="D363" s="133"/>
      <c r="E363" s="133"/>
      <c r="F363" s="133"/>
      <c r="G363" s="133"/>
      <c r="H363" s="133"/>
      <c r="I363" s="133"/>
      <c r="J363" s="133"/>
      <c r="K363" s="133"/>
      <c r="L363" s="133"/>
    </row>
    <row r="364" spans="3:12">
      <c r="C364" s="133"/>
      <c r="D364" s="133"/>
      <c r="E364" s="133"/>
      <c r="F364" s="133"/>
      <c r="G364" s="133"/>
      <c r="H364" s="133"/>
      <c r="I364" s="133"/>
      <c r="J364" s="133"/>
      <c r="K364" s="133"/>
      <c r="L364" s="133"/>
    </row>
    <row r="365" spans="3:12">
      <c r="C365" s="133"/>
      <c r="D365" s="133"/>
      <c r="E365" s="133"/>
      <c r="F365" s="133"/>
      <c r="G365" s="133"/>
      <c r="H365" s="133"/>
      <c r="I365" s="133"/>
      <c r="J365" s="133"/>
      <c r="K365" s="133"/>
      <c r="L365" s="133"/>
    </row>
    <row r="366" spans="3:12">
      <c r="C366" s="133"/>
      <c r="D366" s="133"/>
      <c r="E366" s="133"/>
      <c r="F366" s="133"/>
      <c r="G366" s="133"/>
      <c r="H366" s="133"/>
      <c r="I366" s="133"/>
      <c r="J366" s="133"/>
      <c r="K366" s="133"/>
      <c r="L366" s="133"/>
    </row>
    <row r="367" spans="3:12">
      <c r="C367" s="133"/>
      <c r="D367" s="133"/>
      <c r="E367" s="133"/>
      <c r="F367" s="133"/>
      <c r="G367" s="133"/>
      <c r="H367" s="133"/>
      <c r="I367" s="133"/>
      <c r="J367" s="133"/>
      <c r="K367" s="133"/>
      <c r="L367" s="133"/>
    </row>
    <row r="368" spans="3:12">
      <c r="C368" s="133"/>
      <c r="D368" s="133"/>
      <c r="E368" s="133"/>
      <c r="F368" s="133"/>
      <c r="G368" s="133"/>
      <c r="H368" s="133"/>
      <c r="I368" s="133"/>
      <c r="J368" s="133"/>
      <c r="K368" s="133"/>
      <c r="L368" s="133"/>
    </row>
    <row r="369" spans="3:12">
      <c r="C369" s="133"/>
      <c r="D369" s="133"/>
      <c r="E369" s="133"/>
      <c r="F369" s="133"/>
      <c r="G369" s="133"/>
      <c r="H369" s="133"/>
      <c r="I369" s="133"/>
      <c r="J369" s="133"/>
      <c r="K369" s="133"/>
      <c r="L369" s="133"/>
    </row>
    <row r="370" spans="3:12">
      <c r="C370" s="133"/>
      <c r="D370" s="133"/>
      <c r="E370" s="133"/>
      <c r="F370" s="133"/>
      <c r="G370" s="133"/>
      <c r="H370" s="133"/>
      <c r="I370" s="133"/>
      <c r="J370" s="133"/>
      <c r="K370" s="133"/>
      <c r="L370" s="133"/>
    </row>
    <row r="371" spans="3:12">
      <c r="C371" s="133"/>
      <c r="D371" s="133"/>
      <c r="E371" s="133"/>
      <c r="F371" s="133"/>
      <c r="G371" s="133"/>
      <c r="H371" s="133"/>
      <c r="I371" s="133"/>
      <c r="J371" s="133"/>
      <c r="K371" s="133"/>
      <c r="L371" s="133"/>
    </row>
    <row r="372" spans="3:12">
      <c r="C372" s="133"/>
      <c r="D372" s="133"/>
      <c r="E372" s="133"/>
      <c r="F372" s="133"/>
      <c r="G372" s="133"/>
      <c r="H372" s="133"/>
      <c r="I372" s="133"/>
      <c r="J372" s="133"/>
      <c r="K372" s="133"/>
      <c r="L372" s="133"/>
    </row>
    <row r="373" spans="3:12">
      <c r="C373" s="133"/>
      <c r="D373" s="133"/>
      <c r="E373" s="133"/>
      <c r="F373" s="133"/>
      <c r="G373" s="133"/>
      <c r="H373" s="133"/>
      <c r="I373" s="133"/>
      <c r="J373" s="133"/>
      <c r="K373" s="133"/>
      <c r="L373" s="133"/>
    </row>
    <row r="374" spans="3:12">
      <c r="C374" s="133"/>
      <c r="D374" s="133"/>
      <c r="E374" s="133"/>
      <c r="F374" s="133"/>
      <c r="G374" s="133"/>
      <c r="H374" s="133"/>
      <c r="I374" s="133"/>
      <c r="J374" s="133"/>
      <c r="K374" s="133"/>
      <c r="L374" s="133"/>
    </row>
    <row r="375" spans="3:12">
      <c r="C375" s="133"/>
      <c r="D375" s="133"/>
      <c r="E375" s="133"/>
      <c r="F375" s="133"/>
      <c r="G375" s="133"/>
      <c r="H375" s="133"/>
      <c r="I375" s="133"/>
      <c r="J375" s="133"/>
      <c r="K375" s="133"/>
      <c r="L375" s="133"/>
    </row>
    <row r="376" spans="3:12">
      <c r="C376" s="133"/>
      <c r="D376" s="133"/>
      <c r="E376" s="133"/>
      <c r="F376" s="133"/>
      <c r="G376" s="133"/>
      <c r="H376" s="133"/>
      <c r="I376" s="133"/>
      <c r="J376" s="133"/>
      <c r="K376" s="133"/>
      <c r="L376" s="133"/>
    </row>
    <row r="377" spans="3:12">
      <c r="C377" s="133"/>
      <c r="D377" s="133"/>
      <c r="E377" s="133"/>
      <c r="F377" s="133"/>
      <c r="G377" s="133"/>
      <c r="H377" s="133"/>
      <c r="I377" s="133"/>
      <c r="J377" s="133"/>
      <c r="K377" s="133"/>
      <c r="L377" s="133"/>
    </row>
    <row r="378" spans="3:12">
      <c r="C378" s="133"/>
      <c r="D378" s="133"/>
      <c r="E378" s="133"/>
      <c r="F378" s="133"/>
      <c r="G378" s="133"/>
      <c r="H378" s="133"/>
      <c r="I378" s="133"/>
      <c r="J378" s="133"/>
      <c r="K378" s="133"/>
      <c r="L378" s="133"/>
    </row>
    <row r="379" spans="3:12">
      <c r="C379" s="133"/>
      <c r="D379" s="133"/>
      <c r="E379" s="133"/>
      <c r="F379" s="133"/>
      <c r="G379" s="133"/>
      <c r="H379" s="133"/>
      <c r="I379" s="133"/>
      <c r="J379" s="133"/>
      <c r="K379" s="133"/>
      <c r="L379" s="133"/>
    </row>
    <row r="380" spans="3:12">
      <c r="C380" s="133"/>
      <c r="D380" s="133"/>
      <c r="E380" s="133"/>
      <c r="F380" s="133"/>
      <c r="G380" s="133"/>
      <c r="H380" s="133"/>
      <c r="I380" s="133"/>
      <c r="J380" s="133"/>
      <c r="K380" s="133"/>
      <c r="L380" s="133"/>
    </row>
    <row r="381" spans="3:12">
      <c r="C381" s="133"/>
      <c r="D381" s="133"/>
      <c r="E381" s="133"/>
      <c r="F381" s="133"/>
      <c r="G381" s="133"/>
      <c r="H381" s="133"/>
      <c r="I381" s="133"/>
      <c r="J381" s="133"/>
      <c r="K381" s="133"/>
      <c r="L381" s="133"/>
    </row>
    <row r="382" spans="3:12">
      <c r="C382" s="133"/>
      <c r="D382" s="133"/>
      <c r="E382" s="133"/>
      <c r="F382" s="133"/>
      <c r="G382" s="133"/>
      <c r="H382" s="133"/>
      <c r="I382" s="133"/>
      <c r="J382" s="133"/>
      <c r="K382" s="133"/>
      <c r="L382" s="133"/>
    </row>
    <row r="383" spans="3:12">
      <c r="C383" s="133"/>
      <c r="D383" s="133"/>
      <c r="E383" s="133"/>
      <c r="F383" s="133"/>
      <c r="G383" s="133"/>
      <c r="H383" s="133"/>
      <c r="I383" s="133"/>
      <c r="J383" s="133"/>
      <c r="K383" s="133"/>
      <c r="L383" s="133"/>
    </row>
    <row r="384" spans="3:12">
      <c r="C384" s="133"/>
      <c r="D384" s="133"/>
      <c r="E384" s="133"/>
      <c r="F384" s="133"/>
      <c r="G384" s="133"/>
      <c r="H384" s="133"/>
      <c r="I384" s="133"/>
      <c r="J384" s="133"/>
      <c r="K384" s="133"/>
      <c r="L384" s="133"/>
    </row>
    <row r="385" spans="3:12">
      <c r="C385" s="133"/>
      <c r="D385" s="133"/>
      <c r="E385" s="133"/>
      <c r="F385" s="133"/>
      <c r="G385" s="133"/>
      <c r="H385" s="133"/>
      <c r="I385" s="133"/>
      <c r="J385" s="133"/>
      <c r="K385" s="133"/>
      <c r="L385" s="133"/>
    </row>
    <row r="386" spans="3:12">
      <c r="C386" s="133"/>
      <c r="D386" s="133"/>
      <c r="E386" s="133"/>
      <c r="F386" s="133"/>
      <c r="G386" s="133"/>
      <c r="H386" s="133"/>
      <c r="I386" s="133"/>
      <c r="J386" s="133"/>
      <c r="K386" s="133"/>
      <c r="L386" s="133"/>
    </row>
    <row r="387" spans="3:12">
      <c r="C387" s="133"/>
      <c r="D387" s="133"/>
      <c r="E387" s="133"/>
      <c r="F387" s="133"/>
      <c r="G387" s="133"/>
      <c r="H387" s="133"/>
      <c r="I387" s="133"/>
      <c r="J387" s="133"/>
      <c r="K387" s="133"/>
      <c r="L387" s="133"/>
    </row>
    <row r="388" spans="3:12">
      <c r="C388" s="133"/>
      <c r="D388" s="133"/>
      <c r="E388" s="133"/>
      <c r="F388" s="133"/>
      <c r="G388" s="133"/>
      <c r="H388" s="133"/>
      <c r="I388" s="133"/>
      <c r="J388" s="133"/>
      <c r="K388" s="133"/>
      <c r="L388" s="133"/>
    </row>
    <row r="389" spans="3:12">
      <c r="C389" s="133"/>
      <c r="D389" s="133"/>
      <c r="E389" s="133"/>
      <c r="F389" s="133"/>
      <c r="G389" s="133"/>
      <c r="H389" s="133"/>
      <c r="I389" s="133"/>
      <c r="J389" s="133"/>
      <c r="K389" s="133"/>
      <c r="L389" s="133"/>
    </row>
    <row r="390" spans="3:12">
      <c r="C390" s="133"/>
      <c r="D390" s="133"/>
      <c r="E390" s="133"/>
      <c r="F390" s="133"/>
      <c r="G390" s="133"/>
      <c r="H390" s="133"/>
      <c r="I390" s="133"/>
      <c r="J390" s="133"/>
      <c r="K390" s="133"/>
      <c r="L390" s="133"/>
    </row>
    <row r="391" spans="3:12">
      <c r="C391" s="133"/>
      <c r="D391" s="133"/>
      <c r="E391" s="133"/>
      <c r="F391" s="133"/>
      <c r="G391" s="133"/>
      <c r="H391" s="133"/>
      <c r="I391" s="133"/>
      <c r="J391" s="133"/>
      <c r="K391" s="133"/>
      <c r="L391" s="133"/>
    </row>
    <row r="392" spans="3:12">
      <c r="C392" s="133"/>
      <c r="D392" s="133"/>
      <c r="E392" s="133"/>
      <c r="F392" s="133"/>
      <c r="G392" s="133"/>
      <c r="H392" s="133"/>
      <c r="I392" s="133"/>
      <c r="J392" s="133"/>
      <c r="K392" s="133"/>
      <c r="L392" s="133"/>
    </row>
    <row r="393" spans="3:12">
      <c r="C393" s="133"/>
      <c r="D393" s="133"/>
      <c r="E393" s="133"/>
      <c r="F393" s="133"/>
      <c r="G393" s="133"/>
      <c r="H393" s="133"/>
      <c r="I393" s="133"/>
      <c r="J393" s="133"/>
      <c r="K393" s="133"/>
      <c r="L393" s="133"/>
    </row>
    <row r="394" spans="3:12">
      <c r="C394" s="133"/>
      <c r="D394" s="133"/>
      <c r="E394" s="133"/>
      <c r="F394" s="133"/>
      <c r="G394" s="133"/>
      <c r="H394" s="133"/>
      <c r="I394" s="133"/>
      <c r="J394" s="133"/>
      <c r="K394" s="133"/>
      <c r="L394" s="133"/>
    </row>
    <row r="395" spans="3:12">
      <c r="C395" s="133"/>
      <c r="D395" s="133"/>
      <c r="E395" s="133"/>
      <c r="F395" s="133"/>
      <c r="G395" s="133"/>
      <c r="H395" s="133"/>
      <c r="I395" s="133"/>
      <c r="J395" s="133"/>
      <c r="K395" s="133"/>
      <c r="L395" s="133"/>
    </row>
    <row r="396" spans="3:12">
      <c r="C396" s="133"/>
      <c r="D396" s="133"/>
      <c r="E396" s="133"/>
      <c r="F396" s="133"/>
      <c r="G396" s="133"/>
      <c r="H396" s="133"/>
      <c r="I396" s="133"/>
      <c r="J396" s="133"/>
      <c r="K396" s="133"/>
      <c r="L396" s="133"/>
    </row>
    <row r="397" spans="3:12">
      <c r="C397" s="133"/>
      <c r="D397" s="133"/>
      <c r="E397" s="133"/>
      <c r="F397" s="133"/>
      <c r="G397" s="133"/>
      <c r="H397" s="133"/>
      <c r="I397" s="133"/>
      <c r="J397" s="133"/>
      <c r="K397" s="133"/>
      <c r="L397" s="133"/>
    </row>
    <row r="398" spans="3:12">
      <c r="C398" s="133"/>
      <c r="D398" s="133"/>
      <c r="E398" s="133"/>
      <c r="F398" s="133"/>
      <c r="G398" s="133"/>
      <c r="H398" s="133"/>
      <c r="I398" s="133"/>
      <c r="J398" s="133"/>
      <c r="K398" s="133"/>
      <c r="L398" s="133"/>
    </row>
    <row r="399" spans="3:12">
      <c r="C399" s="133"/>
      <c r="D399" s="133"/>
      <c r="E399" s="133"/>
      <c r="F399" s="133"/>
      <c r="G399" s="133"/>
      <c r="H399" s="133"/>
      <c r="I399" s="133"/>
      <c r="J399" s="133"/>
      <c r="K399" s="133"/>
      <c r="L399" s="133"/>
    </row>
    <row r="400" spans="3:12">
      <c r="C400" s="133"/>
      <c r="D400" s="133"/>
      <c r="E400" s="133"/>
      <c r="F400" s="133"/>
      <c r="G400" s="133"/>
      <c r="H400" s="133"/>
      <c r="I400" s="133"/>
      <c r="J400" s="133"/>
      <c r="K400" s="133"/>
      <c r="L400" s="133"/>
    </row>
    <row r="401" spans="3:12">
      <c r="C401" s="133"/>
      <c r="D401" s="133"/>
      <c r="E401" s="133"/>
      <c r="F401" s="133"/>
      <c r="G401" s="133"/>
      <c r="H401" s="133"/>
      <c r="I401" s="133"/>
      <c r="J401" s="133"/>
      <c r="K401" s="133"/>
      <c r="L401" s="133"/>
    </row>
    <row r="402" spans="3:12">
      <c r="C402" s="133"/>
      <c r="D402" s="133"/>
      <c r="E402" s="133"/>
      <c r="F402" s="133"/>
      <c r="G402" s="133"/>
      <c r="H402" s="133"/>
      <c r="I402" s="133"/>
      <c r="J402" s="133"/>
      <c r="K402" s="133"/>
      <c r="L402" s="133"/>
    </row>
    <row r="403" spans="3:12">
      <c r="C403" s="133"/>
      <c r="D403" s="133"/>
      <c r="E403" s="133"/>
      <c r="F403" s="133"/>
      <c r="G403" s="133"/>
      <c r="H403" s="133"/>
      <c r="I403" s="133"/>
      <c r="J403" s="133"/>
      <c r="K403" s="133"/>
      <c r="L403" s="133"/>
    </row>
    <row r="404" spans="3:12">
      <c r="C404" s="133"/>
      <c r="D404" s="133"/>
      <c r="E404" s="133"/>
      <c r="F404" s="133"/>
      <c r="G404" s="133"/>
      <c r="H404" s="133"/>
      <c r="I404" s="133"/>
      <c r="J404" s="133"/>
      <c r="K404" s="133"/>
      <c r="L404" s="133"/>
    </row>
    <row r="405" spans="3:12">
      <c r="C405" s="133"/>
      <c r="D405" s="133"/>
      <c r="E405" s="133"/>
      <c r="F405" s="133"/>
      <c r="G405" s="133"/>
      <c r="H405" s="133"/>
      <c r="I405" s="133"/>
      <c r="J405" s="133"/>
      <c r="K405" s="133"/>
      <c r="L405" s="133"/>
    </row>
    <row r="406" spans="3:12">
      <c r="C406" s="133"/>
      <c r="D406" s="133"/>
      <c r="E406" s="133"/>
      <c r="F406" s="133"/>
      <c r="G406" s="133"/>
      <c r="H406" s="133"/>
      <c r="I406" s="133"/>
      <c r="J406" s="133"/>
      <c r="K406" s="133"/>
      <c r="L406" s="133"/>
    </row>
    <row r="407" spans="3:12">
      <c r="C407" s="133"/>
      <c r="D407" s="133"/>
      <c r="E407" s="133"/>
      <c r="F407" s="133"/>
      <c r="G407" s="133"/>
      <c r="H407" s="133"/>
      <c r="I407" s="133"/>
      <c r="J407" s="133"/>
      <c r="K407" s="133"/>
      <c r="L407" s="133"/>
    </row>
    <row r="408" spans="3:12">
      <c r="C408" s="133"/>
      <c r="D408" s="133"/>
      <c r="E408" s="133"/>
      <c r="F408" s="133"/>
      <c r="G408" s="133"/>
      <c r="H408" s="133"/>
      <c r="I408" s="133"/>
      <c r="J408" s="133"/>
      <c r="K408" s="133"/>
      <c r="L408" s="133"/>
    </row>
    <row r="409" spans="3:12">
      <c r="C409" s="133"/>
      <c r="D409" s="133"/>
      <c r="E409" s="133"/>
      <c r="F409" s="133"/>
      <c r="G409" s="133"/>
      <c r="H409" s="133"/>
      <c r="I409" s="133"/>
      <c r="J409" s="133"/>
      <c r="K409" s="133"/>
      <c r="L409" s="133"/>
    </row>
    <row r="410" spans="3:12">
      <c r="C410" s="133"/>
      <c r="D410" s="133"/>
      <c r="E410" s="133"/>
      <c r="F410" s="133"/>
      <c r="G410" s="133"/>
      <c r="H410" s="133"/>
      <c r="I410" s="133"/>
      <c r="J410" s="133"/>
      <c r="K410" s="133"/>
      <c r="L410" s="133"/>
    </row>
    <row r="411" spans="3:12">
      <c r="C411" s="133"/>
      <c r="D411" s="133"/>
      <c r="E411" s="133"/>
      <c r="F411" s="133"/>
      <c r="G411" s="133"/>
      <c r="H411" s="133"/>
      <c r="I411" s="133"/>
      <c r="J411" s="133"/>
      <c r="K411" s="133"/>
      <c r="L411" s="133"/>
    </row>
    <row r="412" spans="3:12">
      <c r="C412" s="133"/>
      <c r="D412" s="133"/>
      <c r="E412" s="133"/>
      <c r="F412" s="133"/>
      <c r="G412" s="133"/>
      <c r="H412" s="133"/>
      <c r="I412" s="133"/>
      <c r="J412" s="133"/>
      <c r="K412" s="133"/>
      <c r="L412" s="133"/>
    </row>
    <row r="413" spans="3:12">
      <c r="C413" s="133"/>
      <c r="D413" s="133"/>
      <c r="E413" s="133"/>
      <c r="F413" s="133"/>
      <c r="G413" s="133"/>
      <c r="H413" s="133"/>
      <c r="I413" s="133"/>
      <c r="J413" s="133"/>
      <c r="K413" s="133"/>
      <c r="L413" s="133"/>
    </row>
    <row r="414" spans="3:12">
      <c r="C414" s="133"/>
      <c r="D414" s="133"/>
      <c r="E414" s="133"/>
      <c r="F414" s="133"/>
      <c r="G414" s="133"/>
      <c r="H414" s="133"/>
      <c r="I414" s="133"/>
      <c r="J414" s="133"/>
      <c r="K414" s="133"/>
      <c r="L414" s="133"/>
    </row>
    <row r="415" spans="3:12">
      <c r="C415" s="133"/>
      <c r="D415" s="133"/>
      <c r="E415" s="133"/>
      <c r="F415" s="133"/>
      <c r="G415" s="133"/>
      <c r="H415" s="133"/>
      <c r="I415" s="133"/>
      <c r="J415" s="133"/>
      <c r="K415" s="133"/>
      <c r="L415" s="133"/>
    </row>
    <row r="416" spans="3:12">
      <c r="C416" s="133"/>
      <c r="D416" s="133"/>
      <c r="E416" s="133"/>
      <c r="F416" s="133"/>
      <c r="G416" s="133"/>
      <c r="H416" s="133"/>
      <c r="I416" s="133"/>
      <c r="J416" s="133"/>
      <c r="K416" s="133"/>
      <c r="L416" s="133"/>
    </row>
    <row r="417" spans="3:12">
      <c r="C417" s="133"/>
      <c r="D417" s="133"/>
      <c r="E417" s="133"/>
      <c r="F417" s="133"/>
      <c r="G417" s="133"/>
      <c r="H417" s="133"/>
      <c r="I417" s="133"/>
      <c r="J417" s="133"/>
      <c r="K417" s="133"/>
      <c r="L417" s="133"/>
    </row>
    <row r="418" spans="3:12">
      <c r="C418" s="133"/>
      <c r="D418" s="133"/>
      <c r="E418" s="133"/>
      <c r="F418" s="133"/>
      <c r="G418" s="133"/>
      <c r="H418" s="133"/>
      <c r="I418" s="133"/>
      <c r="J418" s="133"/>
      <c r="K418" s="133"/>
      <c r="L418" s="133"/>
    </row>
    <row r="419" spans="3:12">
      <c r="C419" s="133"/>
      <c r="D419" s="133"/>
      <c r="E419" s="133"/>
      <c r="F419" s="133"/>
      <c r="G419" s="133"/>
      <c r="H419" s="133"/>
      <c r="I419" s="133"/>
      <c r="J419" s="133"/>
      <c r="K419" s="133"/>
      <c r="L419" s="133"/>
    </row>
    <row r="420" spans="3:12">
      <c r="C420" s="133"/>
      <c r="D420" s="133"/>
      <c r="E420" s="133"/>
      <c r="F420" s="133"/>
      <c r="G420" s="133"/>
      <c r="H420" s="133"/>
      <c r="I420" s="133"/>
      <c r="J420" s="133"/>
      <c r="K420" s="133"/>
      <c r="L420" s="133"/>
    </row>
    <row r="421" spans="3:12">
      <c r="C421" s="133"/>
      <c r="D421" s="133"/>
      <c r="E421" s="133"/>
      <c r="F421" s="133"/>
      <c r="G421" s="133"/>
      <c r="H421" s="133"/>
      <c r="I421" s="133"/>
      <c r="J421" s="133"/>
      <c r="K421" s="133"/>
      <c r="L421" s="133"/>
    </row>
    <row r="422" spans="3:12">
      <c r="C422" s="133"/>
      <c r="D422" s="133"/>
      <c r="E422" s="133"/>
      <c r="F422" s="133"/>
      <c r="G422" s="133"/>
      <c r="H422" s="133"/>
      <c r="I422" s="133"/>
      <c r="J422" s="133"/>
      <c r="K422" s="133"/>
      <c r="L422" s="133"/>
    </row>
    <row r="423" spans="3:12">
      <c r="C423" s="133"/>
      <c r="D423" s="133"/>
      <c r="E423" s="133"/>
      <c r="F423" s="133"/>
      <c r="G423" s="133"/>
      <c r="H423" s="133"/>
      <c r="I423" s="133"/>
      <c r="J423" s="133"/>
      <c r="K423" s="133"/>
      <c r="L423" s="133"/>
    </row>
    <row r="424" spans="3:12">
      <c r="C424" s="133"/>
      <c r="D424" s="133"/>
      <c r="E424" s="133"/>
      <c r="F424" s="133"/>
      <c r="G424" s="133"/>
      <c r="H424" s="133"/>
      <c r="I424" s="133"/>
      <c r="J424" s="133"/>
      <c r="K424" s="133"/>
      <c r="L424" s="133"/>
    </row>
    <row r="425" spans="3:12">
      <c r="C425" s="133"/>
      <c r="D425" s="133"/>
      <c r="E425" s="133"/>
      <c r="F425" s="133"/>
      <c r="G425" s="133"/>
      <c r="H425" s="133"/>
      <c r="I425" s="133"/>
      <c r="J425" s="133"/>
      <c r="K425" s="133"/>
      <c r="L425" s="133"/>
    </row>
    <row r="426" spans="3:12">
      <c r="C426" s="133"/>
      <c r="D426" s="133"/>
      <c r="E426" s="133"/>
      <c r="F426" s="133"/>
      <c r="G426" s="133"/>
      <c r="H426" s="133"/>
      <c r="I426" s="133"/>
      <c r="J426" s="133"/>
      <c r="K426" s="133"/>
      <c r="L426" s="133"/>
    </row>
    <row r="427" spans="3:12">
      <c r="C427" s="133"/>
      <c r="D427" s="133"/>
      <c r="E427" s="133"/>
      <c r="F427" s="133"/>
      <c r="G427" s="133"/>
      <c r="H427" s="133"/>
      <c r="I427" s="133"/>
      <c r="J427" s="133"/>
      <c r="K427" s="133"/>
      <c r="L427" s="133"/>
    </row>
    <row r="428" spans="3:12">
      <c r="C428" s="133"/>
      <c r="D428" s="133"/>
      <c r="E428" s="133"/>
      <c r="F428" s="133"/>
      <c r="G428" s="133"/>
      <c r="H428" s="133"/>
      <c r="I428" s="133"/>
      <c r="J428" s="133"/>
      <c r="K428" s="133"/>
      <c r="L428" s="133"/>
    </row>
    <row r="429" spans="3:12">
      <c r="C429" s="133"/>
      <c r="D429" s="133"/>
      <c r="E429" s="133"/>
      <c r="F429" s="133"/>
      <c r="G429" s="133"/>
      <c r="H429" s="133"/>
      <c r="I429" s="133"/>
      <c r="J429" s="133"/>
      <c r="K429" s="133"/>
      <c r="L429" s="133"/>
    </row>
    <row r="430" spans="3:12">
      <c r="C430" s="133"/>
      <c r="D430" s="133"/>
      <c r="E430" s="133"/>
      <c r="F430" s="133"/>
      <c r="G430" s="133"/>
      <c r="H430" s="133"/>
      <c r="I430" s="133"/>
      <c r="J430" s="133"/>
      <c r="K430" s="133"/>
      <c r="L430" s="133"/>
    </row>
    <row r="431" spans="3:12">
      <c r="C431" s="133"/>
      <c r="D431" s="133"/>
      <c r="E431" s="133"/>
      <c r="F431" s="133"/>
      <c r="G431" s="133"/>
      <c r="H431" s="133"/>
      <c r="I431" s="133"/>
      <c r="J431" s="133"/>
      <c r="K431" s="133"/>
      <c r="L431" s="133"/>
    </row>
    <row r="432" spans="3:12">
      <c r="C432" s="133"/>
      <c r="D432" s="133"/>
      <c r="E432" s="133"/>
      <c r="F432" s="133"/>
      <c r="G432" s="133"/>
      <c r="H432" s="133"/>
      <c r="I432" s="133"/>
      <c r="J432" s="133"/>
      <c r="K432" s="133"/>
      <c r="L432" s="133"/>
    </row>
    <row r="433" spans="3:12">
      <c r="C433" s="133"/>
      <c r="D433" s="133"/>
      <c r="E433" s="133"/>
      <c r="F433" s="133"/>
      <c r="G433" s="133"/>
      <c r="H433" s="133"/>
      <c r="I433" s="133"/>
      <c r="J433" s="133"/>
      <c r="K433" s="133"/>
      <c r="L433" s="133"/>
    </row>
    <row r="434" spans="3:12">
      <c r="C434" s="133"/>
      <c r="D434" s="133"/>
      <c r="E434" s="133"/>
      <c r="F434" s="133"/>
      <c r="G434" s="133"/>
      <c r="H434" s="133"/>
      <c r="I434" s="133"/>
      <c r="J434" s="133"/>
      <c r="K434" s="133"/>
      <c r="L434" s="133"/>
    </row>
    <row r="435" spans="3:12">
      <c r="C435" s="133"/>
      <c r="D435" s="133"/>
      <c r="E435" s="133"/>
      <c r="F435" s="133"/>
      <c r="G435" s="133"/>
      <c r="H435" s="133"/>
      <c r="I435" s="133"/>
      <c r="J435" s="133"/>
      <c r="K435" s="133"/>
      <c r="L435" s="133"/>
    </row>
    <row r="436" spans="3:12">
      <c r="C436" s="133"/>
      <c r="D436" s="133"/>
      <c r="E436" s="133"/>
      <c r="F436" s="133"/>
      <c r="G436" s="133"/>
      <c r="H436" s="133"/>
      <c r="I436" s="133"/>
      <c r="J436" s="133"/>
      <c r="K436" s="133"/>
      <c r="L436" s="133"/>
    </row>
    <row r="437" spans="3:12">
      <c r="C437" s="133"/>
      <c r="D437" s="133"/>
      <c r="E437" s="133"/>
      <c r="F437" s="133"/>
      <c r="G437" s="133"/>
      <c r="H437" s="133"/>
      <c r="I437" s="133"/>
      <c r="J437" s="133"/>
      <c r="K437" s="133"/>
      <c r="L437" s="133"/>
    </row>
    <row r="438" spans="3:12">
      <c r="C438" s="133"/>
      <c r="D438" s="133"/>
      <c r="E438" s="133"/>
      <c r="F438" s="133"/>
      <c r="G438" s="133"/>
      <c r="H438" s="133"/>
      <c r="I438" s="133"/>
      <c r="J438" s="133"/>
      <c r="K438" s="133"/>
      <c r="L438" s="133"/>
    </row>
    <row r="439" spans="3:12">
      <c r="C439" s="133"/>
      <c r="D439" s="133"/>
      <c r="E439" s="133"/>
      <c r="F439" s="133"/>
      <c r="G439" s="133"/>
      <c r="H439" s="133"/>
      <c r="I439" s="133"/>
      <c r="J439" s="133"/>
      <c r="K439" s="133"/>
      <c r="L439" s="133"/>
    </row>
    <row r="440" spans="3:12">
      <c r="C440" s="133"/>
      <c r="D440" s="133"/>
      <c r="E440" s="133"/>
      <c r="F440" s="133"/>
      <c r="G440" s="133"/>
      <c r="H440" s="133"/>
      <c r="I440" s="133"/>
      <c r="J440" s="133"/>
      <c r="K440" s="133"/>
      <c r="L440" s="133"/>
    </row>
    <row r="441" spans="3:12">
      <c r="C441" s="133"/>
      <c r="D441" s="133"/>
      <c r="E441" s="133"/>
      <c r="F441" s="133"/>
      <c r="G441" s="133"/>
      <c r="H441" s="133"/>
      <c r="I441" s="133"/>
      <c r="J441" s="133"/>
      <c r="K441" s="133"/>
      <c r="L441" s="133"/>
    </row>
    <row r="442" spans="3:12">
      <c r="C442" s="133"/>
      <c r="D442" s="133"/>
      <c r="E442" s="133"/>
      <c r="F442" s="133"/>
      <c r="G442" s="133"/>
      <c r="H442" s="133"/>
      <c r="I442" s="133"/>
      <c r="J442" s="133"/>
      <c r="K442" s="133"/>
      <c r="L442" s="133"/>
    </row>
    <row r="443" spans="3:12">
      <c r="C443" s="133"/>
      <c r="D443" s="133"/>
      <c r="E443" s="133"/>
      <c r="F443" s="133"/>
      <c r="G443" s="133"/>
      <c r="H443" s="133"/>
      <c r="I443" s="133"/>
      <c r="J443" s="133"/>
      <c r="K443" s="133"/>
      <c r="L443" s="133"/>
    </row>
    <row r="444" spans="3:12">
      <c r="C444" s="133"/>
      <c r="D444" s="133"/>
      <c r="E444" s="133"/>
      <c r="F444" s="133"/>
      <c r="G444" s="133"/>
      <c r="H444" s="133"/>
      <c r="I444" s="133"/>
      <c r="J444" s="133"/>
      <c r="K444" s="133"/>
      <c r="L444" s="133"/>
    </row>
    <row r="445" spans="3:12">
      <c r="C445" s="133"/>
      <c r="D445" s="133"/>
      <c r="E445" s="133"/>
      <c r="F445" s="133"/>
      <c r="G445" s="133"/>
      <c r="H445" s="133"/>
      <c r="I445" s="133"/>
      <c r="J445" s="133"/>
      <c r="K445" s="133"/>
      <c r="L445" s="133"/>
    </row>
    <row r="446" spans="3:12">
      <c r="C446" s="133"/>
      <c r="D446" s="133"/>
      <c r="E446" s="133"/>
      <c r="F446" s="133"/>
      <c r="G446" s="133"/>
      <c r="H446" s="133"/>
      <c r="I446" s="133"/>
      <c r="J446" s="133"/>
      <c r="K446" s="133"/>
      <c r="L446" s="133"/>
    </row>
    <row r="447" spans="3:12">
      <c r="C447" s="133"/>
      <c r="D447" s="133"/>
      <c r="E447" s="133"/>
      <c r="F447" s="133"/>
      <c r="G447" s="133"/>
      <c r="H447" s="133"/>
      <c r="I447" s="133"/>
      <c r="J447" s="133"/>
      <c r="K447" s="133"/>
      <c r="L447" s="133"/>
    </row>
    <row r="448" spans="3:12">
      <c r="C448" s="133"/>
      <c r="D448" s="133"/>
      <c r="E448" s="133"/>
      <c r="F448" s="133"/>
      <c r="G448" s="133"/>
      <c r="H448" s="133"/>
      <c r="I448" s="133"/>
      <c r="J448" s="133"/>
      <c r="K448" s="133"/>
      <c r="L448" s="133"/>
    </row>
    <row r="449" spans="3:12">
      <c r="C449" s="133"/>
      <c r="D449" s="133"/>
      <c r="E449" s="133"/>
      <c r="F449" s="133"/>
      <c r="G449" s="133"/>
      <c r="H449" s="133"/>
      <c r="I449" s="133"/>
      <c r="J449" s="133"/>
      <c r="K449" s="133"/>
      <c r="L449" s="133"/>
    </row>
    <row r="450" spans="3:12">
      <c r="C450" s="133"/>
      <c r="D450" s="133"/>
      <c r="E450" s="133"/>
      <c r="F450" s="133"/>
      <c r="G450" s="133"/>
      <c r="H450" s="133"/>
      <c r="I450" s="133"/>
      <c r="J450" s="133"/>
      <c r="K450" s="133"/>
      <c r="L450" s="133"/>
    </row>
    <row r="451" spans="3:12">
      <c r="C451" s="133"/>
      <c r="D451" s="133"/>
      <c r="E451" s="133"/>
      <c r="F451" s="133"/>
      <c r="G451" s="133"/>
      <c r="H451" s="133"/>
      <c r="I451" s="133"/>
      <c r="J451" s="133"/>
      <c r="K451" s="133"/>
      <c r="L451" s="133"/>
    </row>
    <row r="452" spans="3:12">
      <c r="C452" s="133"/>
      <c r="D452" s="133"/>
      <c r="E452" s="133"/>
      <c r="F452" s="133"/>
      <c r="G452" s="133"/>
      <c r="H452" s="133"/>
      <c r="I452" s="133"/>
      <c r="J452" s="133"/>
      <c r="K452" s="133"/>
      <c r="L452" s="133"/>
    </row>
    <row r="453" spans="3:12">
      <c r="C453" s="133"/>
      <c r="D453" s="133"/>
      <c r="E453" s="133"/>
      <c r="F453" s="133"/>
      <c r="G453" s="133"/>
      <c r="H453" s="133"/>
      <c r="I453" s="133"/>
      <c r="J453" s="133"/>
      <c r="K453" s="133"/>
      <c r="L453" s="133"/>
    </row>
    <row r="454" spans="3:12">
      <c r="C454" s="133"/>
      <c r="D454" s="133"/>
      <c r="E454" s="133"/>
      <c r="F454" s="133"/>
      <c r="G454" s="133"/>
      <c r="H454" s="133"/>
      <c r="I454" s="133"/>
      <c r="J454" s="133"/>
      <c r="K454" s="133"/>
      <c r="L454" s="133"/>
    </row>
    <row r="455" spans="3:12">
      <c r="C455" s="133"/>
      <c r="D455" s="133"/>
      <c r="E455" s="133"/>
      <c r="F455" s="133"/>
      <c r="G455" s="133"/>
      <c r="H455" s="133"/>
      <c r="I455" s="133"/>
      <c r="J455" s="133"/>
      <c r="K455" s="133"/>
      <c r="L455" s="133"/>
    </row>
    <row r="456" spans="3:12">
      <c r="C456" s="133"/>
      <c r="D456" s="133"/>
      <c r="E456" s="133"/>
      <c r="F456" s="133"/>
      <c r="G456" s="133"/>
      <c r="H456" s="133"/>
      <c r="I456" s="133"/>
      <c r="J456" s="133"/>
      <c r="K456" s="133"/>
      <c r="L456" s="133"/>
    </row>
    <row r="457" spans="3:12">
      <c r="C457" s="133"/>
      <c r="D457" s="133"/>
      <c r="E457" s="133"/>
      <c r="F457" s="133"/>
      <c r="G457" s="133"/>
      <c r="H457" s="133"/>
      <c r="I457" s="133"/>
      <c r="J457" s="133"/>
      <c r="K457" s="133"/>
      <c r="L457" s="133"/>
    </row>
    <row r="458" spans="3:12">
      <c r="C458" s="133"/>
      <c r="D458" s="133"/>
      <c r="E458" s="133"/>
      <c r="F458" s="133"/>
      <c r="G458" s="133"/>
      <c r="H458" s="133"/>
      <c r="I458" s="133"/>
      <c r="J458" s="133"/>
      <c r="K458" s="133"/>
      <c r="L458" s="133"/>
    </row>
    <row r="459" spans="3:12">
      <c r="C459" s="133"/>
      <c r="D459" s="133"/>
      <c r="E459" s="133"/>
      <c r="F459" s="133"/>
      <c r="G459" s="133"/>
      <c r="H459" s="133"/>
      <c r="I459" s="133"/>
      <c r="J459" s="133"/>
      <c r="K459" s="133"/>
      <c r="L459" s="133"/>
    </row>
    <row r="460" spans="3:12">
      <c r="C460" s="133"/>
      <c r="D460" s="133"/>
      <c r="E460" s="133"/>
      <c r="F460" s="133"/>
      <c r="G460" s="133"/>
      <c r="H460" s="133"/>
      <c r="I460" s="133"/>
      <c r="J460" s="133"/>
      <c r="K460" s="133"/>
      <c r="L460" s="133"/>
    </row>
    <row r="461" spans="3:12">
      <c r="C461" s="133"/>
      <c r="D461" s="133"/>
      <c r="E461" s="133"/>
      <c r="F461" s="133"/>
      <c r="G461" s="133"/>
      <c r="H461" s="133"/>
      <c r="I461" s="133"/>
      <c r="J461" s="133"/>
      <c r="K461" s="133"/>
      <c r="L461" s="133"/>
    </row>
    <row r="462" spans="3:12">
      <c r="C462" s="133"/>
      <c r="D462" s="133"/>
      <c r="E462" s="133"/>
      <c r="F462" s="133"/>
      <c r="G462" s="133"/>
      <c r="H462" s="133"/>
      <c r="I462" s="133"/>
      <c r="J462" s="133"/>
      <c r="K462" s="133"/>
      <c r="L462" s="133"/>
    </row>
    <row r="463" spans="3:12">
      <c r="C463" s="133"/>
      <c r="D463" s="133"/>
      <c r="E463" s="133"/>
      <c r="F463" s="133"/>
      <c r="G463" s="133"/>
      <c r="H463" s="133"/>
      <c r="I463" s="133"/>
      <c r="J463" s="133"/>
      <c r="K463" s="133"/>
      <c r="L463" s="133"/>
    </row>
    <row r="464" spans="3:12">
      <c r="C464" s="133"/>
      <c r="D464" s="133"/>
      <c r="E464" s="133"/>
      <c r="F464" s="133"/>
      <c r="G464" s="133"/>
      <c r="H464" s="133"/>
      <c r="I464" s="133"/>
      <c r="J464" s="133"/>
      <c r="K464" s="133"/>
      <c r="L464" s="133"/>
    </row>
    <row r="465" spans="3:12">
      <c r="C465" s="133"/>
      <c r="D465" s="133"/>
      <c r="E465" s="133"/>
      <c r="F465" s="133"/>
      <c r="G465" s="133"/>
      <c r="H465" s="133"/>
      <c r="I465" s="133"/>
      <c r="J465" s="133"/>
      <c r="K465" s="133"/>
      <c r="L465" s="133"/>
    </row>
    <row r="466" spans="3:12">
      <c r="C466" s="133"/>
      <c r="D466" s="133"/>
      <c r="E466" s="133"/>
      <c r="F466" s="133"/>
      <c r="G466" s="133"/>
      <c r="H466" s="133"/>
      <c r="I466" s="133"/>
      <c r="J466" s="133"/>
      <c r="K466" s="133"/>
      <c r="L466" s="133"/>
    </row>
    <row r="467" spans="3:12">
      <c r="C467" s="133"/>
      <c r="D467" s="133"/>
      <c r="E467" s="133"/>
      <c r="F467" s="133"/>
      <c r="G467" s="133"/>
      <c r="H467" s="133"/>
      <c r="I467" s="133"/>
      <c r="J467" s="133"/>
      <c r="K467" s="133"/>
      <c r="L467" s="133"/>
    </row>
    <row r="468" spans="3:12">
      <c r="C468" s="133"/>
      <c r="D468" s="133"/>
      <c r="E468" s="133"/>
      <c r="F468" s="133"/>
      <c r="G468" s="133"/>
      <c r="H468" s="133"/>
      <c r="I468" s="133"/>
      <c r="J468" s="133"/>
      <c r="K468" s="133"/>
      <c r="L468" s="133"/>
    </row>
    <row r="469" spans="3:12">
      <c r="C469" s="133"/>
      <c r="D469" s="133"/>
      <c r="E469" s="133"/>
      <c r="F469" s="133"/>
      <c r="G469" s="133"/>
      <c r="H469" s="133"/>
      <c r="I469" s="133"/>
      <c r="J469" s="133"/>
      <c r="K469" s="133"/>
      <c r="L469" s="133"/>
    </row>
    <row r="470" spans="3:12">
      <c r="C470" s="133"/>
      <c r="D470" s="133"/>
      <c r="E470" s="133"/>
      <c r="F470" s="133"/>
      <c r="G470" s="133"/>
      <c r="H470" s="133"/>
      <c r="I470" s="133"/>
      <c r="J470" s="133"/>
      <c r="K470" s="133"/>
      <c r="L470" s="133"/>
    </row>
    <row r="471" spans="3:12">
      <c r="C471" s="133"/>
      <c r="D471" s="133"/>
      <c r="E471" s="133"/>
      <c r="F471" s="133"/>
      <c r="G471" s="133"/>
      <c r="H471" s="133"/>
      <c r="I471" s="133"/>
      <c r="J471" s="133"/>
      <c r="K471" s="133"/>
      <c r="L471" s="133"/>
    </row>
    <row r="472" spans="3:12">
      <c r="C472" s="133"/>
      <c r="D472" s="133"/>
      <c r="E472" s="133"/>
      <c r="F472" s="133"/>
      <c r="G472" s="133"/>
      <c r="H472" s="133"/>
      <c r="I472" s="133"/>
      <c r="J472" s="133"/>
      <c r="K472" s="133"/>
      <c r="L472" s="133"/>
    </row>
    <row r="473" spans="3:12">
      <c r="C473" s="133"/>
      <c r="D473" s="133"/>
      <c r="E473" s="133"/>
      <c r="F473" s="133"/>
      <c r="G473" s="133"/>
      <c r="H473" s="133"/>
      <c r="I473" s="133"/>
      <c r="J473" s="133"/>
      <c r="K473" s="133"/>
      <c r="L473" s="133"/>
    </row>
    <row r="474" spans="3:12">
      <c r="C474" s="133"/>
      <c r="D474" s="133"/>
      <c r="E474" s="133"/>
      <c r="F474" s="133"/>
      <c r="G474" s="133"/>
      <c r="H474" s="133"/>
      <c r="I474" s="133"/>
      <c r="J474" s="133"/>
      <c r="K474" s="133"/>
      <c r="L474" s="133"/>
    </row>
    <row r="475" spans="3:12">
      <c r="C475" s="133"/>
      <c r="D475" s="133"/>
      <c r="E475" s="133"/>
      <c r="F475" s="133"/>
      <c r="G475" s="133"/>
      <c r="H475" s="133"/>
      <c r="I475" s="133"/>
      <c r="J475" s="133"/>
      <c r="K475" s="133"/>
      <c r="L475" s="133"/>
    </row>
    <row r="476" spans="3:12">
      <c r="C476" s="133"/>
      <c r="D476" s="133"/>
      <c r="E476" s="133"/>
      <c r="F476" s="133"/>
      <c r="G476" s="133"/>
      <c r="H476" s="133"/>
      <c r="I476" s="133"/>
      <c r="J476" s="133"/>
      <c r="K476" s="133"/>
      <c r="L476" s="133"/>
    </row>
    <row r="477" spans="3:12">
      <c r="C477" s="133"/>
      <c r="D477" s="133"/>
      <c r="E477" s="133"/>
      <c r="F477" s="133"/>
      <c r="G477" s="133"/>
      <c r="H477" s="133"/>
      <c r="I477" s="133"/>
      <c r="J477" s="133"/>
      <c r="K477" s="133"/>
      <c r="L477" s="133"/>
    </row>
    <row r="478" spans="3:12">
      <c r="C478" s="133"/>
      <c r="D478" s="133"/>
      <c r="E478" s="133"/>
      <c r="F478" s="133"/>
      <c r="G478" s="133"/>
      <c r="H478" s="133"/>
      <c r="I478" s="133"/>
      <c r="J478" s="133"/>
      <c r="K478" s="133"/>
      <c r="L478" s="133"/>
    </row>
    <row r="479" spans="3:12">
      <c r="C479" s="133"/>
      <c r="D479" s="133"/>
      <c r="E479" s="133"/>
      <c r="F479" s="133"/>
      <c r="G479" s="133"/>
      <c r="H479" s="133"/>
      <c r="I479" s="133"/>
      <c r="J479" s="133"/>
      <c r="K479" s="133"/>
      <c r="L479" s="133"/>
    </row>
    <row r="480" spans="3:12">
      <c r="C480" s="133"/>
      <c r="D480" s="133"/>
      <c r="E480" s="133"/>
      <c r="F480" s="133"/>
      <c r="G480" s="133"/>
      <c r="H480" s="133"/>
      <c r="I480" s="133"/>
      <c r="J480" s="133"/>
      <c r="K480" s="133"/>
      <c r="L480" s="133"/>
    </row>
    <row r="481" spans="3:12">
      <c r="C481" s="133"/>
      <c r="D481" s="133"/>
      <c r="E481" s="133"/>
      <c r="F481" s="133"/>
      <c r="G481" s="133"/>
      <c r="H481" s="133"/>
      <c r="I481" s="133"/>
      <c r="J481" s="133"/>
      <c r="K481" s="133"/>
      <c r="L481" s="133"/>
    </row>
    <row r="482" spans="3:12">
      <c r="C482" s="133"/>
      <c r="D482" s="133"/>
      <c r="E482" s="133"/>
      <c r="F482" s="133"/>
      <c r="G482" s="133"/>
      <c r="H482" s="133"/>
      <c r="I482" s="133"/>
      <c r="J482" s="133"/>
      <c r="K482" s="133"/>
      <c r="L482" s="133"/>
    </row>
    <row r="483" spans="3:12">
      <c r="C483" s="133"/>
      <c r="D483" s="133"/>
      <c r="E483" s="133"/>
      <c r="F483" s="133"/>
      <c r="G483" s="133"/>
      <c r="H483" s="133"/>
      <c r="I483" s="133"/>
      <c r="J483" s="133"/>
      <c r="K483" s="133"/>
      <c r="L483" s="133"/>
    </row>
    <row r="484" spans="3:12">
      <c r="C484" s="133"/>
      <c r="D484" s="133"/>
      <c r="E484" s="133"/>
      <c r="F484" s="133"/>
      <c r="G484" s="133"/>
      <c r="H484" s="133"/>
      <c r="I484" s="133"/>
      <c r="J484" s="133"/>
      <c r="K484" s="133"/>
      <c r="L484" s="133"/>
    </row>
    <row r="485" spans="3:12">
      <c r="C485" s="133"/>
      <c r="D485" s="133"/>
      <c r="E485" s="133"/>
      <c r="F485" s="133"/>
      <c r="G485" s="133"/>
      <c r="H485" s="133"/>
      <c r="I485" s="133"/>
      <c r="J485" s="133"/>
      <c r="K485" s="133"/>
      <c r="L485" s="133"/>
    </row>
    <row r="486" spans="3:12">
      <c r="C486" s="133"/>
      <c r="D486" s="133"/>
      <c r="E486" s="133"/>
      <c r="F486" s="133"/>
      <c r="G486" s="133"/>
      <c r="H486" s="133"/>
      <c r="I486" s="133"/>
      <c r="J486" s="133"/>
      <c r="K486" s="133"/>
      <c r="L486" s="133"/>
    </row>
    <row r="487" spans="3:12">
      <c r="C487" s="133"/>
      <c r="D487" s="133"/>
      <c r="E487" s="133"/>
      <c r="F487" s="133"/>
      <c r="G487" s="133"/>
      <c r="H487" s="133"/>
      <c r="I487" s="133"/>
      <c r="J487" s="133"/>
      <c r="K487" s="133"/>
      <c r="L487" s="133"/>
    </row>
    <row r="488" spans="3:12">
      <c r="C488" s="133"/>
      <c r="D488" s="133"/>
      <c r="E488" s="133"/>
      <c r="F488" s="133"/>
      <c r="G488" s="133"/>
      <c r="H488" s="133"/>
      <c r="I488" s="133"/>
      <c r="J488" s="133"/>
      <c r="K488" s="133"/>
      <c r="L488" s="133"/>
    </row>
    <row r="489" spans="3:12">
      <c r="C489" s="133"/>
      <c r="D489" s="133"/>
      <c r="E489" s="133"/>
      <c r="F489" s="133"/>
      <c r="G489" s="133"/>
      <c r="H489" s="133"/>
      <c r="I489" s="133"/>
      <c r="J489" s="133"/>
      <c r="K489" s="133"/>
      <c r="L489" s="133"/>
    </row>
    <row r="490" spans="3:12">
      <c r="C490" s="133"/>
      <c r="D490" s="133"/>
      <c r="E490" s="133"/>
      <c r="F490" s="133"/>
      <c r="G490" s="133"/>
      <c r="H490" s="133"/>
      <c r="I490" s="133"/>
      <c r="J490" s="133"/>
      <c r="K490" s="133"/>
      <c r="L490" s="133"/>
    </row>
    <row r="491" spans="3:12">
      <c r="C491" s="133"/>
      <c r="D491" s="133"/>
      <c r="E491" s="133"/>
      <c r="F491" s="133"/>
      <c r="G491" s="133"/>
      <c r="H491" s="133"/>
      <c r="I491" s="133"/>
      <c r="J491" s="133"/>
      <c r="K491" s="133"/>
      <c r="L491" s="133"/>
    </row>
    <row r="492" spans="3:12">
      <c r="C492" s="133"/>
      <c r="D492" s="133"/>
      <c r="E492" s="133"/>
      <c r="F492" s="133"/>
      <c r="G492" s="133"/>
      <c r="H492" s="133"/>
      <c r="I492" s="133"/>
      <c r="J492" s="133"/>
      <c r="K492" s="133"/>
      <c r="L492" s="133"/>
    </row>
    <row r="493" spans="3:12">
      <c r="C493" s="133"/>
      <c r="D493" s="133"/>
      <c r="E493" s="133"/>
      <c r="F493" s="133"/>
      <c r="G493" s="133"/>
      <c r="H493" s="133"/>
      <c r="I493" s="133"/>
      <c r="J493" s="133"/>
      <c r="K493" s="133"/>
      <c r="L493" s="133"/>
    </row>
    <row r="494" spans="3:12">
      <c r="C494" s="133"/>
      <c r="D494" s="133"/>
      <c r="E494" s="133"/>
      <c r="F494" s="133"/>
      <c r="G494" s="133"/>
      <c r="H494" s="133"/>
      <c r="I494" s="133"/>
      <c r="J494" s="133"/>
      <c r="K494" s="133"/>
      <c r="L494" s="133"/>
    </row>
    <row r="495" spans="3:12">
      <c r="C495" s="133"/>
      <c r="D495" s="133"/>
      <c r="E495" s="133"/>
      <c r="F495" s="133"/>
      <c r="G495" s="133"/>
      <c r="H495" s="133"/>
      <c r="I495" s="133"/>
      <c r="J495" s="133"/>
      <c r="K495" s="133"/>
      <c r="L495" s="133"/>
    </row>
    <row r="496" spans="3:12">
      <c r="C496" s="133"/>
      <c r="D496" s="133"/>
      <c r="E496" s="133"/>
      <c r="F496" s="133"/>
      <c r="G496" s="133"/>
      <c r="H496" s="133"/>
      <c r="I496" s="133"/>
      <c r="J496" s="133"/>
      <c r="K496" s="133"/>
      <c r="L496" s="133"/>
    </row>
    <row r="497" spans="3:12">
      <c r="C497" s="133"/>
      <c r="D497" s="133"/>
      <c r="E497" s="133"/>
      <c r="F497" s="133"/>
      <c r="G497" s="133"/>
      <c r="H497" s="133"/>
      <c r="I497" s="133"/>
      <c r="J497" s="133"/>
      <c r="K497" s="133"/>
      <c r="L497" s="133"/>
    </row>
    <row r="498" spans="3:12">
      <c r="C498" s="133"/>
      <c r="D498" s="133"/>
      <c r="E498" s="133"/>
      <c r="F498" s="133"/>
      <c r="G498" s="133"/>
      <c r="H498" s="133"/>
      <c r="I498" s="133"/>
      <c r="J498" s="133"/>
      <c r="K498" s="133"/>
      <c r="L498" s="133"/>
    </row>
    <row r="499" spans="3:12">
      <c r="C499" s="133"/>
      <c r="D499" s="133"/>
      <c r="E499" s="133"/>
      <c r="F499" s="133"/>
      <c r="G499" s="133"/>
      <c r="H499" s="133"/>
      <c r="I499" s="133"/>
      <c r="J499" s="133"/>
      <c r="K499" s="133"/>
      <c r="L499" s="133"/>
    </row>
    <row r="500" spans="3:12">
      <c r="C500" s="133"/>
      <c r="D500" s="133"/>
      <c r="E500" s="133"/>
      <c r="F500" s="133"/>
      <c r="G500" s="133"/>
      <c r="H500" s="133"/>
      <c r="I500" s="133"/>
      <c r="J500" s="133"/>
      <c r="K500" s="133"/>
      <c r="L500" s="133"/>
    </row>
    <row r="501" spans="3:12">
      <c r="C501" s="133"/>
      <c r="D501" s="133"/>
      <c r="E501" s="133"/>
      <c r="F501" s="133"/>
      <c r="G501" s="133"/>
      <c r="H501" s="133"/>
      <c r="I501" s="133"/>
      <c r="J501" s="133"/>
      <c r="K501" s="133"/>
      <c r="L501" s="133"/>
    </row>
    <row r="502" spans="3:12">
      <c r="C502" s="133"/>
      <c r="D502" s="133"/>
      <c r="E502" s="133"/>
      <c r="F502" s="133"/>
      <c r="G502" s="133"/>
      <c r="H502" s="133"/>
      <c r="I502" s="133"/>
      <c r="J502" s="133"/>
      <c r="K502" s="133"/>
      <c r="L502" s="133"/>
    </row>
    <row r="503" spans="3:12">
      <c r="C503" s="133"/>
      <c r="D503" s="133"/>
      <c r="E503" s="133"/>
      <c r="F503" s="133"/>
      <c r="G503" s="133"/>
      <c r="H503" s="133"/>
      <c r="I503" s="133"/>
      <c r="J503" s="133"/>
      <c r="K503" s="133"/>
      <c r="L503" s="133"/>
    </row>
    <row r="504" spans="3:12">
      <c r="C504" s="133"/>
      <c r="D504" s="133"/>
      <c r="E504" s="133"/>
      <c r="F504" s="133"/>
      <c r="G504" s="133"/>
      <c r="H504" s="133"/>
      <c r="I504" s="133"/>
      <c r="J504" s="133"/>
      <c r="K504" s="133"/>
      <c r="L504" s="133"/>
    </row>
    <row r="505" spans="3:12">
      <c r="C505" s="133"/>
      <c r="D505" s="133"/>
      <c r="E505" s="133"/>
      <c r="F505" s="133"/>
      <c r="G505" s="133"/>
      <c r="H505" s="133"/>
      <c r="I505" s="133"/>
      <c r="J505" s="133"/>
      <c r="K505" s="133"/>
      <c r="L505" s="133"/>
    </row>
    <row r="506" spans="3:12">
      <c r="C506" s="133"/>
      <c r="D506" s="133"/>
      <c r="E506" s="133"/>
      <c r="F506" s="133"/>
      <c r="G506" s="133"/>
      <c r="H506" s="133"/>
      <c r="I506" s="133"/>
      <c r="J506" s="133"/>
      <c r="K506" s="133"/>
      <c r="L506" s="133"/>
    </row>
    <row r="507" spans="3:12">
      <c r="C507" s="133"/>
      <c r="D507" s="133"/>
      <c r="E507" s="133"/>
      <c r="F507" s="133"/>
      <c r="G507" s="133"/>
      <c r="H507" s="133"/>
      <c r="I507" s="133"/>
      <c r="J507" s="133"/>
      <c r="K507" s="133"/>
      <c r="L507" s="133"/>
    </row>
    <row r="508" spans="3:12">
      <c r="C508" s="133"/>
      <c r="D508" s="133"/>
      <c r="E508" s="133"/>
      <c r="F508" s="133"/>
      <c r="G508" s="133"/>
      <c r="H508" s="133"/>
      <c r="I508" s="133"/>
      <c r="J508" s="133"/>
      <c r="K508" s="133"/>
      <c r="L508" s="133"/>
    </row>
    <row r="509" spans="3:12">
      <c r="C509" s="133"/>
      <c r="D509" s="133"/>
      <c r="E509" s="133"/>
      <c r="F509" s="133"/>
      <c r="G509" s="133"/>
      <c r="H509" s="133"/>
      <c r="I509" s="133"/>
      <c r="J509" s="133"/>
      <c r="K509" s="133"/>
      <c r="L509" s="133"/>
    </row>
    <row r="510" spans="3:12">
      <c r="C510" s="133"/>
      <c r="D510" s="133"/>
      <c r="E510" s="133"/>
      <c r="F510" s="133"/>
      <c r="G510" s="133"/>
      <c r="H510" s="133"/>
      <c r="I510" s="133"/>
      <c r="J510" s="133"/>
      <c r="K510" s="133"/>
      <c r="L510" s="133"/>
    </row>
    <row r="511" spans="3:12">
      <c r="C511" s="133"/>
      <c r="D511" s="133"/>
      <c r="E511" s="133"/>
      <c r="F511" s="133"/>
      <c r="G511" s="133"/>
      <c r="H511" s="133"/>
      <c r="I511" s="133"/>
      <c r="J511" s="133"/>
      <c r="K511" s="133"/>
      <c r="L511" s="133"/>
    </row>
    <row r="512" spans="3:12">
      <c r="C512" s="133"/>
      <c r="D512" s="133"/>
      <c r="E512" s="133"/>
      <c r="F512" s="133"/>
      <c r="G512" s="133"/>
      <c r="H512" s="133"/>
      <c r="I512" s="133"/>
      <c r="J512" s="133"/>
      <c r="K512" s="133"/>
      <c r="L512" s="133"/>
    </row>
    <row r="513" spans="3:12">
      <c r="C513" s="133"/>
      <c r="D513" s="133"/>
      <c r="E513" s="133"/>
      <c r="F513" s="133"/>
      <c r="G513" s="133"/>
      <c r="H513" s="133"/>
      <c r="I513" s="133"/>
      <c r="J513" s="133"/>
      <c r="K513" s="133"/>
      <c r="L513" s="133"/>
    </row>
    <row r="514" spans="3:12">
      <c r="C514" s="133"/>
      <c r="D514" s="133"/>
      <c r="E514" s="133"/>
      <c r="F514" s="133"/>
      <c r="G514" s="133"/>
      <c r="H514" s="133"/>
      <c r="I514" s="133"/>
      <c r="J514" s="133"/>
      <c r="K514" s="133"/>
      <c r="L514" s="133"/>
    </row>
    <row r="515" spans="3:12">
      <c r="C515" s="133"/>
      <c r="D515" s="133"/>
      <c r="E515" s="133"/>
      <c r="F515" s="133"/>
      <c r="G515" s="133"/>
      <c r="H515" s="133"/>
      <c r="I515" s="133"/>
      <c r="J515" s="133"/>
      <c r="K515" s="133"/>
      <c r="L515" s="133"/>
    </row>
    <row r="516" spans="3:12">
      <c r="C516" s="133"/>
      <c r="D516" s="133"/>
      <c r="E516" s="133"/>
      <c r="F516" s="133"/>
      <c r="G516" s="133"/>
      <c r="H516" s="133"/>
      <c r="I516" s="133"/>
      <c r="J516" s="133"/>
      <c r="K516" s="133"/>
      <c r="L516" s="133"/>
    </row>
    <row r="517" spans="3:12">
      <c r="C517" s="133"/>
      <c r="D517" s="133"/>
      <c r="E517" s="133"/>
      <c r="F517" s="133"/>
      <c r="G517" s="133"/>
      <c r="H517" s="133"/>
      <c r="I517" s="133"/>
      <c r="J517" s="133"/>
      <c r="K517" s="133"/>
      <c r="L517" s="133"/>
    </row>
    <row r="518" spans="3:12">
      <c r="C518" s="133"/>
      <c r="D518" s="133"/>
      <c r="E518" s="133"/>
      <c r="F518" s="133"/>
      <c r="G518" s="133"/>
      <c r="H518" s="133"/>
      <c r="I518" s="133"/>
      <c r="J518" s="133"/>
      <c r="K518" s="133"/>
      <c r="L518" s="133"/>
    </row>
    <row r="519" spans="3:12">
      <c r="C519" s="133"/>
      <c r="D519" s="133"/>
      <c r="E519" s="133"/>
      <c r="F519" s="133"/>
      <c r="G519" s="133"/>
      <c r="H519" s="133"/>
      <c r="I519" s="133"/>
      <c r="J519" s="133"/>
      <c r="K519" s="133"/>
      <c r="L519" s="133"/>
    </row>
    <row r="520" spans="3:12">
      <c r="C520" s="133"/>
      <c r="D520" s="133"/>
      <c r="E520" s="133"/>
      <c r="F520" s="133"/>
      <c r="G520" s="133"/>
      <c r="H520" s="133"/>
      <c r="I520" s="133"/>
      <c r="J520" s="133"/>
      <c r="K520" s="133"/>
      <c r="L520" s="133"/>
    </row>
    <row r="521" spans="3:12">
      <c r="C521" s="133"/>
      <c r="D521" s="133"/>
      <c r="E521" s="133"/>
      <c r="F521" s="133"/>
      <c r="G521" s="133"/>
      <c r="H521" s="133"/>
      <c r="I521" s="133"/>
      <c r="J521" s="133"/>
      <c r="K521" s="133"/>
      <c r="L521" s="133"/>
    </row>
    <row r="522" spans="3:12">
      <c r="C522" s="133"/>
      <c r="D522" s="133"/>
      <c r="E522" s="133"/>
      <c r="F522" s="133"/>
      <c r="G522" s="133"/>
      <c r="H522" s="133"/>
      <c r="I522" s="133"/>
      <c r="J522" s="133"/>
      <c r="K522" s="133"/>
      <c r="L522" s="133"/>
    </row>
    <row r="523" spans="3:12">
      <c r="C523" s="133"/>
      <c r="D523" s="133"/>
      <c r="E523" s="133"/>
      <c r="F523" s="133"/>
      <c r="G523" s="133"/>
      <c r="H523" s="133"/>
      <c r="I523" s="133"/>
      <c r="J523" s="133"/>
      <c r="K523" s="133"/>
      <c r="L523" s="133"/>
    </row>
    <row r="524" spans="3:12">
      <c r="C524" s="133"/>
      <c r="D524" s="133"/>
      <c r="E524" s="133"/>
      <c r="F524" s="133"/>
      <c r="G524" s="133"/>
      <c r="H524" s="133"/>
      <c r="I524" s="133"/>
      <c r="J524" s="133"/>
      <c r="K524" s="133"/>
      <c r="L524" s="133"/>
    </row>
    <row r="525" spans="3:12">
      <c r="C525" s="133"/>
      <c r="D525" s="133"/>
      <c r="E525" s="133"/>
      <c r="F525" s="133"/>
      <c r="G525" s="133"/>
      <c r="H525" s="133"/>
      <c r="I525" s="133"/>
      <c r="J525" s="133"/>
      <c r="K525" s="133"/>
      <c r="L525" s="133"/>
    </row>
    <row r="526" spans="3:12">
      <c r="C526" s="133"/>
      <c r="D526" s="133"/>
      <c r="E526" s="133"/>
      <c r="F526" s="133"/>
      <c r="G526" s="133"/>
      <c r="H526" s="133"/>
      <c r="I526" s="133"/>
      <c r="J526" s="133"/>
      <c r="K526" s="133"/>
      <c r="L526" s="133"/>
    </row>
    <row r="527" spans="3:12">
      <c r="C527" s="133"/>
      <c r="D527" s="133"/>
      <c r="E527" s="133"/>
      <c r="F527" s="133"/>
      <c r="G527" s="133"/>
      <c r="H527" s="133"/>
      <c r="I527" s="133"/>
      <c r="J527" s="133"/>
      <c r="K527" s="133"/>
      <c r="L527" s="133"/>
    </row>
    <row r="528" spans="3:12">
      <c r="C528" s="133"/>
      <c r="D528" s="133"/>
      <c r="E528" s="133"/>
      <c r="F528" s="133"/>
      <c r="G528" s="133"/>
      <c r="H528" s="133"/>
      <c r="I528" s="133"/>
      <c r="J528" s="133"/>
      <c r="K528" s="133"/>
      <c r="L528" s="133"/>
    </row>
    <row r="529" spans="3:12">
      <c r="C529" s="133"/>
      <c r="D529" s="133"/>
      <c r="E529" s="133"/>
      <c r="F529" s="133"/>
      <c r="G529" s="133"/>
      <c r="H529" s="133"/>
      <c r="I529" s="133"/>
      <c r="J529" s="133"/>
      <c r="K529" s="133"/>
      <c r="L529" s="133"/>
    </row>
    <row r="530" spans="3:12">
      <c r="C530" s="133"/>
      <c r="D530" s="133"/>
      <c r="E530" s="133"/>
      <c r="F530" s="133"/>
      <c r="G530" s="133"/>
      <c r="H530" s="133"/>
      <c r="I530" s="133"/>
      <c r="J530" s="133"/>
      <c r="K530" s="133"/>
      <c r="L530" s="133"/>
    </row>
    <row r="531" spans="3:12">
      <c r="C531" s="133"/>
      <c r="D531" s="133"/>
      <c r="E531" s="133"/>
      <c r="F531" s="133"/>
      <c r="G531" s="133"/>
      <c r="H531" s="133"/>
      <c r="I531" s="133"/>
      <c r="J531" s="133"/>
      <c r="K531" s="133"/>
      <c r="L531" s="133"/>
    </row>
    <row r="532" spans="3:12">
      <c r="C532" s="133"/>
      <c r="D532" s="133"/>
      <c r="E532" s="133"/>
      <c r="F532" s="133"/>
      <c r="G532" s="133"/>
      <c r="H532" s="133"/>
      <c r="I532" s="133"/>
      <c r="J532" s="133"/>
      <c r="K532" s="133"/>
      <c r="L532" s="133"/>
    </row>
    <row r="533" spans="3:12">
      <c r="C533" s="133"/>
      <c r="D533" s="133"/>
      <c r="E533" s="133"/>
      <c r="F533" s="133"/>
      <c r="G533" s="133"/>
      <c r="H533" s="133"/>
      <c r="I533" s="133"/>
      <c r="J533" s="133"/>
      <c r="K533" s="133"/>
      <c r="L533" s="133"/>
    </row>
    <row r="534" spans="3:12">
      <c r="C534" s="133"/>
      <c r="D534" s="133"/>
      <c r="E534" s="133"/>
      <c r="F534" s="133"/>
      <c r="G534" s="133"/>
      <c r="H534" s="133"/>
      <c r="I534" s="133"/>
      <c r="J534" s="133"/>
      <c r="K534" s="133"/>
      <c r="L534" s="133"/>
    </row>
    <row r="535" spans="3:12">
      <c r="C535" s="133"/>
      <c r="D535" s="133"/>
      <c r="E535" s="133"/>
      <c r="F535" s="133"/>
      <c r="G535" s="133"/>
      <c r="H535" s="133"/>
      <c r="I535" s="133"/>
      <c r="J535" s="133"/>
      <c r="K535" s="133"/>
      <c r="L535" s="133"/>
    </row>
    <row r="536" spans="3:12">
      <c r="C536" s="133"/>
      <c r="D536" s="133"/>
      <c r="E536" s="133"/>
      <c r="F536" s="133"/>
      <c r="G536" s="133"/>
      <c r="H536" s="133"/>
      <c r="I536" s="133"/>
      <c r="J536" s="133"/>
      <c r="K536" s="133"/>
      <c r="L536" s="133"/>
    </row>
    <row r="537" spans="3:12">
      <c r="C537" s="133"/>
      <c r="D537" s="133"/>
      <c r="E537" s="133"/>
      <c r="F537" s="133"/>
      <c r="G537" s="133"/>
      <c r="H537" s="133"/>
      <c r="I537" s="133"/>
      <c r="J537" s="133"/>
      <c r="K537" s="133"/>
      <c r="L537" s="133"/>
    </row>
    <row r="538" spans="3:12">
      <c r="C538" s="133"/>
      <c r="D538" s="133"/>
      <c r="E538" s="133"/>
      <c r="F538" s="133"/>
      <c r="G538" s="133"/>
      <c r="H538" s="133"/>
      <c r="I538" s="133"/>
      <c r="J538" s="133"/>
      <c r="K538" s="133"/>
      <c r="L538" s="133"/>
    </row>
    <row r="539" spans="3:12">
      <c r="C539" s="133"/>
      <c r="D539" s="133"/>
      <c r="E539" s="133"/>
      <c r="F539" s="133"/>
      <c r="G539" s="133"/>
      <c r="H539" s="133"/>
      <c r="I539" s="133"/>
      <c r="J539" s="133"/>
      <c r="K539" s="133"/>
      <c r="L539" s="133"/>
    </row>
    <row r="540" spans="3:12">
      <c r="C540" s="133"/>
      <c r="D540" s="133"/>
      <c r="E540" s="133"/>
      <c r="F540" s="133"/>
      <c r="G540" s="133"/>
      <c r="H540" s="133"/>
      <c r="I540" s="133"/>
      <c r="J540" s="133"/>
      <c r="K540" s="133"/>
      <c r="L540" s="133"/>
    </row>
  </sheetData>
  <sheetProtection algorithmName="SHA-512" hashValue="BFX4IDwD5pgBT+ar7SzMdegrYUWswl8JIy6v5FTJfeYLXR1m3e2lZ+4VUfO9yqkcnspkn8j0jpAx/VbjKYtz/A==" saltValue="40SjjkOKWxXspDXQkHo0Pg==" spinCount="100000" sheet="1" objects="1" scenarios="1"/>
  <mergeCells count="217">
    <mergeCell ref="C217:D217"/>
    <mergeCell ref="E177:F177"/>
    <mergeCell ref="G177:H177"/>
    <mergeCell ref="I177:J177"/>
    <mergeCell ref="E187:F187"/>
    <mergeCell ref="G187:H187"/>
    <mergeCell ref="E197:F197"/>
    <mergeCell ref="G197:H197"/>
    <mergeCell ref="I197:J197"/>
    <mergeCell ref="D191:L191"/>
    <mergeCell ref="D200:L200"/>
    <mergeCell ref="G207:H207"/>
    <mergeCell ref="I207:J207"/>
    <mergeCell ref="D203:L203"/>
    <mergeCell ref="D201:L201"/>
    <mergeCell ref="D202:L202"/>
    <mergeCell ref="I205:J205"/>
    <mergeCell ref="E205:F205"/>
    <mergeCell ref="G205:H205"/>
    <mergeCell ref="E215:F215"/>
    <mergeCell ref="G215:H215"/>
    <mergeCell ref="I215:J215"/>
    <mergeCell ref="E207:F207"/>
    <mergeCell ref="D212:L212"/>
    <mergeCell ref="D213:L213"/>
    <mergeCell ref="I132:J132"/>
    <mergeCell ref="C166:D166"/>
    <mergeCell ref="E164:F164"/>
    <mergeCell ref="G164:H164"/>
    <mergeCell ref="I164:J164"/>
    <mergeCell ref="D148:L148"/>
    <mergeCell ref="D138:L138"/>
    <mergeCell ref="E133:F133"/>
    <mergeCell ref="G133:H133"/>
    <mergeCell ref="G135:H135"/>
    <mergeCell ref="D211:L211"/>
    <mergeCell ref="D210:L210"/>
    <mergeCell ref="D160:L160"/>
    <mergeCell ref="E153:F153"/>
    <mergeCell ref="G153:H153"/>
    <mergeCell ref="C197:D197"/>
    <mergeCell ref="C187:D187"/>
    <mergeCell ref="D190:L190"/>
    <mergeCell ref="I187:J187"/>
    <mergeCell ref="E195:F195"/>
    <mergeCell ref="G195:H195"/>
    <mergeCell ref="I195:J195"/>
    <mergeCell ref="D192:L192"/>
    <mergeCell ref="C207:D207"/>
    <mergeCell ref="D70:L70"/>
    <mergeCell ref="D67:L67"/>
    <mergeCell ref="I135:J135"/>
    <mergeCell ref="E135:F135"/>
    <mergeCell ref="D181:L181"/>
    <mergeCell ref="D180:L180"/>
    <mergeCell ref="D57:L57"/>
    <mergeCell ref="D58:L58"/>
    <mergeCell ref="I61:J61"/>
    <mergeCell ref="I64:J64"/>
    <mergeCell ref="D172:L172"/>
    <mergeCell ref="C167:D167"/>
    <mergeCell ref="C155:D155"/>
    <mergeCell ref="D159:L159"/>
    <mergeCell ref="E92:F92"/>
    <mergeCell ref="G92:H92"/>
    <mergeCell ref="I92:J92"/>
    <mergeCell ref="E64:F64"/>
    <mergeCell ref="G64:H64"/>
    <mergeCell ref="I145:J145"/>
    <mergeCell ref="D151:L151"/>
    <mergeCell ref="D109:L109"/>
    <mergeCell ref="C114:D114"/>
    <mergeCell ref="D44:L44"/>
    <mergeCell ref="E53:F53"/>
    <mergeCell ref="D78:L78"/>
    <mergeCell ref="D69:L69"/>
    <mergeCell ref="C51:D51"/>
    <mergeCell ref="D80:L80"/>
    <mergeCell ref="D56:L56"/>
    <mergeCell ref="C63:D63"/>
    <mergeCell ref="G53:H53"/>
    <mergeCell ref="E52:F52"/>
    <mergeCell ref="G52:H52"/>
    <mergeCell ref="I52:J52"/>
    <mergeCell ref="I53:J53"/>
    <mergeCell ref="D68:L68"/>
    <mergeCell ref="D59:L59"/>
    <mergeCell ref="E61:F61"/>
    <mergeCell ref="G61:H61"/>
    <mergeCell ref="D45:L45"/>
    <mergeCell ref="E49:F49"/>
    <mergeCell ref="G49:H49"/>
    <mergeCell ref="I49:J49"/>
    <mergeCell ref="D47:L47"/>
    <mergeCell ref="D46:L46"/>
    <mergeCell ref="D2:L2"/>
    <mergeCell ref="D3:L3"/>
    <mergeCell ref="D4:L4"/>
    <mergeCell ref="D5:L5"/>
    <mergeCell ref="E7:F7"/>
    <mergeCell ref="C20:D20"/>
    <mergeCell ref="C9:D9"/>
    <mergeCell ref="D13:L13"/>
    <mergeCell ref="D14:L14"/>
    <mergeCell ref="D15:L15"/>
    <mergeCell ref="I20:J20"/>
    <mergeCell ref="E10:F10"/>
    <mergeCell ref="E9:F9"/>
    <mergeCell ref="G9:H9"/>
    <mergeCell ref="G10:H10"/>
    <mergeCell ref="G7:H7"/>
    <mergeCell ref="I7:J7"/>
    <mergeCell ref="I9:J9"/>
    <mergeCell ref="I10:J10"/>
    <mergeCell ref="G20:H20"/>
    <mergeCell ref="D16:L16"/>
    <mergeCell ref="E18:F18"/>
    <mergeCell ref="G18:H18"/>
    <mergeCell ref="I18:J18"/>
    <mergeCell ref="G41:H41"/>
    <mergeCell ref="I41:J41"/>
    <mergeCell ref="E28:F28"/>
    <mergeCell ref="D24:L24"/>
    <mergeCell ref="D25:L25"/>
    <mergeCell ref="D23:L23"/>
    <mergeCell ref="D26:L26"/>
    <mergeCell ref="C40:D40"/>
    <mergeCell ref="D35:L35"/>
    <mergeCell ref="E38:F38"/>
    <mergeCell ref="E30:F30"/>
    <mergeCell ref="G30:H30"/>
    <mergeCell ref="D36:L36"/>
    <mergeCell ref="I28:J28"/>
    <mergeCell ref="G28:H28"/>
    <mergeCell ref="E41:F41"/>
    <mergeCell ref="E20:F20"/>
    <mergeCell ref="D33:L33"/>
    <mergeCell ref="D34:L34"/>
    <mergeCell ref="G38:H38"/>
    <mergeCell ref="I38:J38"/>
    <mergeCell ref="D173:L173"/>
    <mergeCell ref="I112:J112"/>
    <mergeCell ref="E132:F132"/>
    <mergeCell ref="G132:H132"/>
    <mergeCell ref="E112:F112"/>
    <mergeCell ref="G112:H112"/>
    <mergeCell ref="I30:J30"/>
    <mergeCell ref="E72:F72"/>
    <mergeCell ref="G72:H72"/>
    <mergeCell ref="I72:J72"/>
    <mergeCell ref="E74:F74"/>
    <mergeCell ref="C74:D74"/>
    <mergeCell ref="D88:L88"/>
    <mergeCell ref="D89:L89"/>
    <mergeCell ref="D77:L77"/>
    <mergeCell ref="E82:F82"/>
    <mergeCell ref="G82:H82"/>
    <mergeCell ref="I82:J82"/>
    <mergeCell ref="C84:D84"/>
    <mergeCell ref="G122:H122"/>
    <mergeCell ref="D97:L97"/>
    <mergeCell ref="D98:L98"/>
    <mergeCell ref="D99:L99"/>
    <mergeCell ref="D100:L100"/>
    <mergeCell ref="E102:F102"/>
    <mergeCell ref="G102:H102"/>
    <mergeCell ref="D139:L139"/>
    <mergeCell ref="D107:L107"/>
    <mergeCell ref="D110:L110"/>
    <mergeCell ref="C218:D218"/>
    <mergeCell ref="G218:H218"/>
    <mergeCell ref="I218:J218"/>
    <mergeCell ref="D79:L79"/>
    <mergeCell ref="D141:L141"/>
    <mergeCell ref="E143:F143"/>
    <mergeCell ref="D108:L108"/>
    <mergeCell ref="I102:J102"/>
    <mergeCell ref="C104:D104"/>
    <mergeCell ref="E122:F122"/>
    <mergeCell ref="G143:H143"/>
    <mergeCell ref="I143:J143"/>
    <mergeCell ref="D170:L170"/>
    <mergeCell ref="D171:L171"/>
    <mergeCell ref="D161:L161"/>
    <mergeCell ref="D162:L162"/>
    <mergeCell ref="D149:L149"/>
    <mergeCell ref="D150:L150"/>
    <mergeCell ref="C156:D156"/>
    <mergeCell ref="G145:H145"/>
    <mergeCell ref="D182:L182"/>
    <mergeCell ref="D183:L183"/>
    <mergeCell ref="D193:L193"/>
    <mergeCell ref="D120:L120"/>
    <mergeCell ref="I185:J185"/>
    <mergeCell ref="E175:F175"/>
    <mergeCell ref="G175:H175"/>
    <mergeCell ref="I175:J175"/>
    <mergeCell ref="C177:D177"/>
    <mergeCell ref="D87:L87"/>
    <mergeCell ref="D90:L90"/>
    <mergeCell ref="C145:D145"/>
    <mergeCell ref="E145:F145"/>
    <mergeCell ref="D128:L128"/>
    <mergeCell ref="D129:L129"/>
    <mergeCell ref="I153:J153"/>
    <mergeCell ref="D140:L140"/>
    <mergeCell ref="C134:D134"/>
    <mergeCell ref="D130:L130"/>
    <mergeCell ref="D127:L127"/>
    <mergeCell ref="C94:D94"/>
    <mergeCell ref="D117:L117"/>
    <mergeCell ref="D118:L118"/>
    <mergeCell ref="D119:L119"/>
    <mergeCell ref="E185:F185"/>
    <mergeCell ref="G185:H185"/>
    <mergeCell ref="I122:J122"/>
    <mergeCell ref="C124:D124"/>
  </mergeCells>
  <conditionalFormatting sqref="E84 G84 I84">
    <cfRule type="cellIs" dxfId="78" priority="76" operator="lessThan">
      <formula>10</formula>
    </cfRule>
    <cfRule type="cellIs" dxfId="77" priority="77" operator="greaterThanOrEqual">
      <formula>10</formula>
    </cfRule>
  </conditionalFormatting>
  <conditionalFormatting sqref="E74:G74 I74">
    <cfRule type="cellIs" dxfId="76" priority="45" operator="greaterThan">
      <formula>0.5</formula>
    </cfRule>
  </conditionalFormatting>
  <conditionalFormatting sqref="E74 G74 I74">
    <cfRule type="cellIs" dxfId="75" priority="44" operator="lessThanOrEqual">
      <formula>0.5</formula>
    </cfRule>
  </conditionalFormatting>
  <conditionalFormatting sqref="E94 G94 I94">
    <cfRule type="cellIs" dxfId="74" priority="66" operator="greaterThan">
      <formula>0.3</formula>
    </cfRule>
    <cfRule type="cellIs" dxfId="73" priority="67" operator="lessThanOrEqual">
      <formula>0.3</formula>
    </cfRule>
  </conditionalFormatting>
  <conditionalFormatting sqref="E166 G166 I166">
    <cfRule type="cellIs" dxfId="72" priority="80" operator="greaterThan">
      <formula>45</formula>
    </cfRule>
    <cfRule type="cellIs" dxfId="71" priority="81" operator="lessThanOrEqual">
      <formula>45</formula>
    </cfRule>
  </conditionalFormatting>
  <conditionalFormatting sqref="E155 G155 I155">
    <cfRule type="cellIs" dxfId="70" priority="88" operator="lessThan">
      <formula>20</formula>
    </cfRule>
    <cfRule type="cellIs" dxfId="69" priority="89" operator="greaterThan">
      <formula>40</formula>
    </cfRule>
    <cfRule type="cellIs" dxfId="68" priority="90" operator="between">
      <formula>20</formula>
      <formula>40</formula>
    </cfRule>
  </conditionalFormatting>
  <conditionalFormatting sqref="G218:H218">
    <cfRule type="cellIs" dxfId="67" priority="41" operator="lessThan">
      <formula>0</formula>
    </cfRule>
  </conditionalFormatting>
  <conditionalFormatting sqref="I218 G218">
    <cfRule type="cellIs" dxfId="66" priority="40" operator="greaterThan">
      <formula>0</formula>
    </cfRule>
  </conditionalFormatting>
  <conditionalFormatting sqref="G218 I218">
    <cfRule type="cellIs" dxfId="65" priority="39" operator="lessThan">
      <formula>0</formula>
    </cfRule>
  </conditionalFormatting>
  <conditionalFormatting sqref="E52:J53">
    <cfRule type="containsBlanks" dxfId="64" priority="91">
      <formula>LEN(TRIM(E52))=0</formula>
    </cfRule>
  </conditionalFormatting>
  <conditionalFormatting sqref="E135:J135">
    <cfRule type="containsText" dxfId="63" priority="33" operator="containsText" text="Insuffisance">
      <formula>NOT(ISERROR(SEARCH("Insuffisance",E135)))</formula>
    </cfRule>
    <cfRule type="containsText" dxfId="62" priority="34" operator="containsText" text="Capacité">
      <formula>NOT(ISERROR(SEARCH("Capacité",E135)))</formula>
    </cfRule>
  </conditionalFormatting>
  <conditionalFormatting sqref="E134:G134 I134">
    <cfRule type="cellIs" dxfId="61" priority="31" operator="lessThanOrEqual">
      <formula>0</formula>
    </cfRule>
    <cfRule type="cellIs" dxfId="60" priority="32" operator="greaterThan">
      <formula>0</formula>
    </cfRule>
  </conditionalFormatting>
  <conditionalFormatting sqref="E114 G114 I114">
    <cfRule type="cellIs" dxfId="59" priority="29" operator="greaterThan">
      <formula>0.8</formula>
    </cfRule>
    <cfRule type="cellIs" dxfId="58" priority="30" operator="lessThanOrEqual">
      <formula>0.8</formula>
    </cfRule>
  </conditionalFormatting>
  <conditionalFormatting sqref="E124 G124 I124">
    <cfRule type="cellIs" dxfId="57" priority="24" operator="between">
      <formula>50</formula>
      <formula>60</formula>
    </cfRule>
    <cfRule type="cellIs" dxfId="56" priority="27" operator="greaterThan">
      <formula>0.6</formula>
    </cfRule>
    <cfRule type="cellIs" dxfId="55" priority="28" operator="lessThan">
      <formula>0.5</formula>
    </cfRule>
  </conditionalFormatting>
  <conditionalFormatting sqref="E104 G104 I104">
    <cfRule type="cellIs" dxfId="54" priority="25" operator="lessThan">
      <formula>1</formula>
    </cfRule>
    <cfRule type="cellIs" dxfId="53" priority="26" operator="greaterThanOrEqual">
      <formula>1</formula>
    </cfRule>
  </conditionalFormatting>
  <conditionalFormatting sqref="E1:J1048576">
    <cfRule type="containsErrors" dxfId="52" priority="92">
      <formula>ISERROR(E1)</formula>
    </cfRule>
  </conditionalFormatting>
  <pageMargins left="0.7" right="0.7" top="0.75" bottom="0.75" header="0.3" footer="0.3"/>
  <pageSetup paperSize="9" scale="70" fitToHeight="3" orientation="portrait" r:id="rId1"/>
  <rowBreaks count="4" manualBreakCount="4">
    <brk id="65" max="12" man="1"/>
    <brk id="126" max="12" man="1"/>
    <brk id="189" max="12" man="1"/>
    <brk id="222" max="12" man="1"/>
  </rowBreaks>
  <ignoredErrors>
    <ignoredError sqref="I9 E20 G20 I20 E40:I40 E51:I51 E63:I63 F145 F166 J167 F155 E156:F156 E9:H9 E167:F167 H167 I124:J124 I114:J114 E124 G124 G114 E114 E74 G74:H74 I74:J74 H166 H145 J145 H155 J155" evalError="1"/>
    <ignoredError sqref="I94"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20</vt:i4>
      </vt:variant>
    </vt:vector>
  </HeadingPairs>
  <TitlesOfParts>
    <vt:vector size="43" baseType="lpstr">
      <vt:lpstr>Ratios</vt:lpstr>
      <vt:lpstr>A FAIRE</vt:lpstr>
      <vt:lpstr>MENU</vt:lpstr>
      <vt:lpstr>BD Finess</vt:lpstr>
      <vt:lpstr>FINESS</vt:lpstr>
      <vt:lpstr>Bilan financier</vt:lpstr>
      <vt:lpstr>CAF</vt:lpstr>
      <vt:lpstr>SIG</vt:lpstr>
      <vt:lpstr>Analyse rétrospective (1)</vt:lpstr>
      <vt:lpstr>Analyse rétrospective (2)</vt:lpstr>
      <vt:lpstr>AIDE-Fiches indicateurs</vt:lpstr>
      <vt:lpstr>PPI</vt:lpstr>
      <vt:lpstr>AIDE-Durées amortissements</vt:lpstr>
      <vt:lpstr>Plan pluriannuel de financement</vt:lpstr>
      <vt:lpstr>Cptes de résultat prévisionnels</vt:lpstr>
      <vt:lpstr>Tableau surcoûts exploitation</vt:lpstr>
      <vt:lpstr>AIDE-simulation emprunt</vt:lpstr>
      <vt:lpstr>Analyse prospective (1)</vt:lpstr>
      <vt:lpstr>Analyse prospective (2)</vt:lpstr>
      <vt:lpstr>Ann5</vt:lpstr>
      <vt:lpstr>Ann7</vt:lpstr>
      <vt:lpstr>REX</vt:lpstr>
      <vt:lpstr>BDD REX</vt:lpstr>
      <vt:lpstr>PPSI_AnneesJ</vt:lpstr>
      <vt:lpstr>'AIDE-Durées amortissements'!Zone_d_impression</vt:lpstr>
      <vt:lpstr>'AIDE-Fiches indicateurs'!Zone_d_impression</vt:lpstr>
      <vt:lpstr>'AIDE-simulation emprunt'!Zone_d_impression</vt:lpstr>
      <vt:lpstr>'Analyse prospective (1)'!Zone_d_impression</vt:lpstr>
      <vt:lpstr>'Analyse prospective (2)'!Zone_d_impression</vt:lpstr>
      <vt:lpstr>'Analyse rétrospective (1)'!Zone_d_impression</vt:lpstr>
      <vt:lpstr>'Analyse rétrospective (2)'!Zone_d_impression</vt:lpstr>
      <vt:lpstr>'Ann5'!Zone_d_impression</vt:lpstr>
      <vt:lpstr>'Ann7'!Zone_d_impression</vt:lpstr>
      <vt:lpstr>'BDD REX'!Zone_d_impression</vt:lpstr>
      <vt:lpstr>'Bilan financier'!Zone_d_impression</vt:lpstr>
      <vt:lpstr>CAF!Zone_d_impression</vt:lpstr>
      <vt:lpstr>'Cptes de résultat prévisionnels'!Zone_d_impression</vt:lpstr>
      <vt:lpstr>MENU!Zone_d_impression</vt:lpstr>
      <vt:lpstr>'Plan pluriannuel de financement'!Zone_d_impression</vt:lpstr>
      <vt:lpstr>PPI!Zone_d_impression</vt:lpstr>
      <vt:lpstr>REX!Zone_d_impression</vt:lpstr>
      <vt:lpstr>SIG!Zone_d_impression</vt:lpstr>
      <vt:lpstr>'Tableau surcoûts exploitation'!Zone_d_impression</vt:lpstr>
    </vt:vector>
  </TitlesOfParts>
  <Company>Les Capucins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MARS2</dc:creator>
  <cp:lastModifiedBy>LHOTE Francois</cp:lastModifiedBy>
  <cp:lastPrinted>2020-11-04T14:15:29Z</cp:lastPrinted>
  <dcterms:created xsi:type="dcterms:W3CDTF">2015-01-20T13:25:44Z</dcterms:created>
  <dcterms:modified xsi:type="dcterms:W3CDTF">2020-11-04T14:16:49Z</dcterms:modified>
</cp:coreProperties>
</file>